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3BBC38B-C2DA-FC69-06AC-9F67D96B6324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ony Opsomer admin\Dropbox\PERSOONLIJK\vliegen\W&amp;B PA28 OO-DKM\"/>
    </mc:Choice>
  </mc:AlternateContent>
  <bookViews>
    <workbookView xWindow="0" yWindow="0" windowWidth="28800" windowHeight="12330" tabRatio="738"/>
  </bookViews>
  <sheets>
    <sheet name="Introduction" sheetId="13" r:id="rId1"/>
    <sheet name="W&amp;B FORM" sheetId="1" r:id="rId2"/>
    <sheet name="OO-DKM" sheetId="4" r:id="rId3"/>
  </sheets>
  <definedNames>
    <definedName name="_xlnm.Print_Area" localSheetId="1">'W&amp;B FORM'!$B$1:$P$45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I14" i="1"/>
  <c r="I16" i="1"/>
  <c r="K9" i="1"/>
  <c r="K10" i="1"/>
  <c r="K11" i="1"/>
  <c r="K12" i="1"/>
  <c r="K14" i="1"/>
  <c r="K16" i="1"/>
  <c r="U16" i="1"/>
  <c r="J16" i="1"/>
  <c r="U14" i="1"/>
  <c r="J14" i="1"/>
  <c r="E6" i="4"/>
  <c r="H15" i="1"/>
  <c r="I15" i="1"/>
  <c r="K15" i="1"/>
  <c r="K13" i="1"/>
  <c r="I8" i="1"/>
  <c r="K8" i="1"/>
  <c r="J8" i="1"/>
  <c r="K7" i="1"/>
  <c r="J15" i="1"/>
  <c r="J10" i="1"/>
  <c r="J11" i="1"/>
  <c r="J12" i="1"/>
  <c r="J13" i="1"/>
  <c r="J9" i="1"/>
  <c r="O8" i="1"/>
  <c r="M13" i="1"/>
  <c r="C19" i="4"/>
  <c r="C10" i="4"/>
  <c r="E4" i="4"/>
  <c r="C7" i="4"/>
  <c r="I7" i="1"/>
  <c r="E5" i="4"/>
  <c r="M8" i="1"/>
  <c r="E7" i="4"/>
  <c r="B1" i="1"/>
  <c r="O1" i="1"/>
  <c r="M14" i="1"/>
  <c r="X27" i="1"/>
  <c r="W27" i="1"/>
  <c r="X29" i="1"/>
  <c r="M16" i="1"/>
  <c r="C15" i="4"/>
  <c r="C16" i="4"/>
</calcChain>
</file>

<file path=xl/comments1.xml><?xml version="1.0" encoding="utf-8"?>
<comments xmlns="http://schemas.openxmlformats.org/spreadsheetml/2006/main">
  <authors>
    <author>Tony Opsomer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Total trip time cannot exceed  04:30
in case of FULL long-range fuel tanks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Fuel quantity based on maximum fuel consumption (10,5 US GAL/hr) in cruise performance chart (page 5-19)</t>
        </r>
      </text>
    </comment>
  </commentList>
</comments>
</file>

<file path=xl/sharedStrings.xml><?xml version="1.0" encoding="utf-8"?>
<sst xmlns="http://schemas.openxmlformats.org/spreadsheetml/2006/main" count="89" uniqueCount="66">
  <si>
    <t>Baggage area 1</t>
  </si>
  <si>
    <t xml:space="preserve">Weight </t>
  </si>
  <si>
    <t>Moment</t>
  </si>
  <si>
    <t>[kg]</t>
  </si>
  <si>
    <t>Empty Weight</t>
  </si>
  <si>
    <t>Arm</t>
  </si>
  <si>
    <t xml:space="preserve">Moment </t>
  </si>
  <si>
    <t>LONG-RANGE FUEL TANKS</t>
  </si>
  <si>
    <t>W&amp;B DATA</t>
  </si>
  <si>
    <t>W&amp;B Center of Gravity limits graph</t>
  </si>
  <si>
    <t>Front passenger</t>
  </si>
  <si>
    <t>Pilot</t>
  </si>
  <si>
    <t>[l]</t>
  </si>
  <si>
    <t>Fuel quantity</t>
  </si>
  <si>
    <t xml:space="preserve">Usable fuel </t>
  </si>
  <si>
    <t>Basic empty weight (includes engine oil and unusable fuel)</t>
  </si>
  <si>
    <t xml:space="preserve"> </t>
  </si>
  <si>
    <t>BASED ON</t>
  </si>
  <si>
    <t>mean arm:</t>
  </si>
  <si>
    <t>LANDING WEIGHT AND MOMENT</t>
  </si>
  <si>
    <t>Total trip time</t>
  </si>
  <si>
    <t>hh:mm</t>
  </si>
  <si>
    <t>Form validity checker</t>
  </si>
  <si>
    <t>Don't forget: always do a manual check on your data!!</t>
  </si>
  <si>
    <t>Calculations</t>
  </si>
  <si>
    <t>conversion minutes  to hh:mm notation</t>
  </si>
  <si>
    <t>total minutes</t>
  </si>
  <si>
    <t>hh</t>
  </si>
  <si>
    <t>mm</t>
  </si>
  <si>
    <t xml:space="preserve">This document is provided for secondary flightplanning and navigation only. It is the user/pilot's sole responsibility to verify the correctness of all  information provided by this sheet. </t>
  </si>
  <si>
    <t>Weight and balance form</t>
  </si>
  <si>
    <t>US Gal</t>
  </si>
  <si>
    <t>l</t>
  </si>
  <si>
    <t>NORMAL CATEGORY</t>
  </si>
  <si>
    <t>UTILITY CATEGORY</t>
  </si>
  <si>
    <t>lbs</t>
  </si>
  <si>
    <t>normal category</t>
  </si>
  <si>
    <t>utility category</t>
  </si>
  <si>
    <t>Unusable fuel</t>
  </si>
  <si>
    <t>Max. Fuel flow</t>
  </si>
  <si>
    <t>US Gal/hr</t>
  </si>
  <si>
    <t>l/u</t>
  </si>
  <si>
    <t>Max usable fuel quantity</t>
  </si>
  <si>
    <t>Rear passenger 1</t>
  </si>
  <si>
    <t>Rear passenger 2</t>
  </si>
  <si>
    <t>Max. endurance:</t>
  </si>
  <si>
    <t>uur</t>
  </si>
  <si>
    <t>kg</t>
  </si>
  <si>
    <t>Max weight baggage areas</t>
  </si>
  <si>
    <t>in</t>
  </si>
  <si>
    <t>Max weight</t>
  </si>
  <si>
    <t>remarks? tony.opsomer@gmail.com</t>
  </si>
  <si>
    <t>Weight and Balance form PA-28-181 OO-DKM</t>
  </si>
  <si>
    <t>DATA OO-DKM</t>
  </si>
  <si>
    <t>in.lbs</t>
  </si>
  <si>
    <t>arm [in]</t>
  </si>
  <si>
    <t>in  utility category the rear seats must not be occupied and the baggage compartment must be empty</t>
  </si>
  <si>
    <t>weight [lbs]</t>
  </si>
  <si>
    <t>Baggage compartment</t>
  </si>
  <si>
    <t>[in]</t>
  </si>
  <si>
    <t>[in.lbs]</t>
  </si>
  <si>
    <t>landing weight [lbs]</t>
  </si>
  <si>
    <t>TAKEOFF WEIGHT AND MOMENT</t>
  </si>
  <si>
    <t>takeoff weight [lbs]</t>
  </si>
  <si>
    <t>PA-28-181 OO-DKM</t>
  </si>
  <si>
    <t>version 2016-10-07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</si>
</sst>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h:mm;@"/>
    <numFmt numFmtId="166" formatCode="000&quot; °&quot;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63377788628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2" fontId="0" fillId="0" borderId="0" xfId="0" applyNumberFormat="1"/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2" borderId="6" xfId="0" applyFill="1" applyBorder="1"/>
    <xf numFmtId="0" fontId="0" fillId="2" borderId="8" xfId="0" applyFill="1" applyBorder="1"/>
    <xf numFmtId="2" fontId="0" fillId="3" borderId="7" xfId="0" applyNumberFormat="1" applyFill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/>
    <xf numFmtId="2" fontId="0" fillId="3" borderId="9" xfId="0" applyNumberFormat="1" applyFill="1" applyBorder="1" applyAlignment="1">
      <alignment horizontal="right"/>
    </xf>
    <xf numFmtId="2" fontId="0" fillId="3" borderId="9" xfId="0" applyNumberFormat="1" applyFill="1" applyBorder="1"/>
    <xf numFmtId="2" fontId="0" fillId="3" borderId="10" xfId="0" applyNumberFormat="1" applyFill="1" applyBorder="1" applyAlignment="1">
      <alignment horizontal="right"/>
    </xf>
    <xf numFmtId="2" fontId="0" fillId="3" borderId="8" xfId="0" applyNumberFormat="1" applyFont="1" applyFill="1" applyBorder="1" applyAlignment="1">
      <alignment horizontal="right"/>
    </xf>
    <xf numFmtId="2" fontId="0" fillId="3" borderId="9" xfId="0" applyNumberFormat="1" applyFont="1" applyFill="1" applyBorder="1" applyAlignment="1">
      <alignment horizontal="right"/>
    </xf>
    <xf numFmtId="2" fontId="0" fillId="3" borderId="10" xfId="0" applyNumberFormat="1" applyFont="1" applyFill="1" applyBorder="1" applyAlignment="1">
      <alignment horizontal="right"/>
    </xf>
    <xf numFmtId="0" fontId="1" fillId="4" borderId="2" xfId="0" applyFont="1" applyFill="1" applyBorder="1"/>
    <xf numFmtId="0" fontId="0" fillId="4" borderId="2" xfId="0" applyFill="1" applyBorder="1"/>
    <xf numFmtId="2" fontId="1" fillId="4" borderId="9" xfId="0" applyNumberFormat="1" applyFont="1" applyFill="1" applyBorder="1" applyAlignment="1">
      <alignment horizontal="right"/>
    </xf>
    <xf numFmtId="2" fontId="1" fillId="4" borderId="10" xfId="0" applyNumberFormat="1" applyFont="1" applyFill="1" applyBorder="1" applyAlignment="1">
      <alignment horizontal="right"/>
    </xf>
    <xf numFmtId="0" fontId="0" fillId="0" borderId="0" xfId="0" applyFill="1" applyProtection="1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Protection="1"/>
    <xf numFmtId="165" fontId="0" fillId="0" borderId="0" xfId="0" applyNumberFormat="1" applyFill="1" applyBorder="1" applyProtection="1"/>
    <xf numFmtId="0" fontId="2" fillId="0" borderId="0" xfId="0" applyFont="1" applyAlignment="1"/>
    <xf numFmtId="0" fontId="5" fillId="3" borderId="17" xfId="0" applyFont="1" applyFill="1" applyBorder="1"/>
    <xf numFmtId="0" fontId="0" fillId="5" borderId="15" xfId="0" applyFill="1" applyBorder="1"/>
    <xf numFmtId="0" fontId="0" fillId="5" borderId="0" xfId="0" applyFill="1" applyBorder="1"/>
    <xf numFmtId="0" fontId="0" fillId="5" borderId="16" xfId="0" applyFill="1" applyBorder="1"/>
    <xf numFmtId="0" fontId="0" fillId="2" borderId="0" xfId="0" applyFill="1"/>
    <xf numFmtId="0" fontId="0" fillId="0" borderId="0" xfId="0" applyBorder="1"/>
    <xf numFmtId="0" fontId="0" fillId="0" borderId="0" xfId="0" applyFont="1"/>
    <xf numFmtId="164" fontId="0" fillId="0" borderId="0" xfId="0" applyNumberFormat="1" applyAlignment="1">
      <alignment horizontal="right"/>
    </xf>
    <xf numFmtId="20" fontId="0" fillId="0" borderId="0" xfId="0" applyNumberFormat="1"/>
    <xf numFmtId="165" fontId="0" fillId="7" borderId="0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1" fillId="8" borderId="2" xfId="0" applyFont="1" applyFill="1" applyBorder="1"/>
    <xf numFmtId="0" fontId="0" fillId="8" borderId="2" xfId="0" applyFill="1" applyBorder="1"/>
    <xf numFmtId="2" fontId="1" fillId="8" borderId="9" xfId="0" applyNumberFormat="1" applyFont="1" applyFill="1" applyBorder="1" applyAlignment="1">
      <alignment horizontal="right"/>
    </xf>
    <xf numFmtId="2" fontId="1" fillId="8" borderId="10" xfId="0" applyNumberFormat="1" applyFont="1" applyFill="1" applyBorder="1" applyAlignment="1">
      <alignment horizontal="right"/>
    </xf>
    <xf numFmtId="0" fontId="9" fillId="0" borderId="0" xfId="0" applyFont="1" applyAlignment="1"/>
    <xf numFmtId="166" fontId="0" fillId="0" borderId="0" xfId="0" applyNumberFormat="1"/>
    <xf numFmtId="0" fontId="7" fillId="0" borderId="0" xfId="0" applyFont="1" applyAlignment="1" applyProtection="1">
      <alignment wrapText="1"/>
    </xf>
    <xf numFmtId="0" fontId="11" fillId="0" borderId="0" xfId="0" applyFont="1"/>
    <xf numFmtId="0" fontId="0" fillId="6" borderId="0" xfId="0" applyFill="1"/>
    <xf numFmtId="0" fontId="0" fillId="6" borderId="0" xfId="0" applyFill="1" applyBorder="1"/>
    <xf numFmtId="0" fontId="10" fillId="6" borderId="0" xfId="0" applyFont="1" applyFill="1"/>
    <xf numFmtId="0" fontId="4" fillId="6" borderId="0" xfId="0" applyFont="1" applyFill="1" applyBorder="1"/>
    <xf numFmtId="0" fontId="1" fillId="6" borderId="0" xfId="0" applyFont="1" applyFill="1" applyBorder="1" applyAlignment="1"/>
    <xf numFmtId="0" fontId="1" fillId="0" borderId="0" xfId="0" applyFont="1" applyBorder="1"/>
    <xf numFmtId="0" fontId="11" fillId="0" borderId="0" xfId="0" applyFont="1" applyBorder="1"/>
    <xf numFmtId="2" fontId="0" fillId="0" borderId="0" xfId="0" applyNumberFormat="1" applyBorder="1"/>
    <xf numFmtId="0" fontId="0" fillId="0" borderId="0" xfId="0" quotePrefix="1" applyBorder="1" applyAlignment="1">
      <alignment horizontal="right"/>
    </xf>
    <xf numFmtId="0" fontId="11" fillId="6" borderId="0" xfId="0" applyFont="1" applyFill="1" applyBorder="1"/>
    <xf numFmtId="0" fontId="1" fillId="0" borderId="0" xfId="0" applyFont="1" applyAlignment="1"/>
    <xf numFmtId="0" fontId="1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5" xfId="0" applyFont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/>
    <xf numFmtId="2" fontId="0" fillId="0" borderId="0" xfId="0" applyNumberFormat="1" applyFont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 applyFont="1" applyAlignment="1"/>
    <xf numFmtId="0" fontId="1" fillId="0" borderId="0" xfId="0" applyFont="1" applyAlignment="1"/>
    <xf numFmtId="2" fontId="15" fillId="4" borderId="8" xfId="0" applyNumberFormat="1" applyFont="1" applyFill="1" applyBorder="1"/>
    <xf numFmtId="2" fontId="16" fillId="8" borderId="8" xfId="0" applyNumberFormat="1" applyFont="1" applyFill="1" applyBorder="1"/>
    <xf numFmtId="0" fontId="0" fillId="0" borderId="0" xfId="0" applyFont="1" applyAlignment="1">
      <alignment horizontal="right"/>
    </xf>
    <xf numFmtId="2" fontId="0" fillId="3" borderId="26" xfId="0" applyNumberFormat="1" applyFill="1" applyBorder="1" applyAlignment="1">
      <alignment horizontal="right"/>
    </xf>
    <xf numFmtId="0" fontId="5" fillId="3" borderId="1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2" fontId="0" fillId="0" borderId="0" xfId="0" applyNumberFormat="1" applyFill="1"/>
    <xf numFmtId="167" fontId="0" fillId="0" borderId="2" xfId="0" applyNumberFormat="1" applyFill="1" applyBorder="1" applyAlignment="1" applyProtection="1">
      <alignment horizontal="right"/>
    </xf>
    <xf numFmtId="0" fontId="11" fillId="6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Alignment="1" applyProtection="1">
      <alignment horizontal="center" wrapText="1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2" fontId="5" fillId="3" borderId="17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left"/>
    </xf>
    <xf numFmtId="2" fontId="5" fillId="3" borderId="23" xfId="0" applyNumberFormat="1" applyFont="1" applyFill="1" applyBorder="1" applyAlignment="1">
      <alignment horizontal="left"/>
    </xf>
    <xf numFmtId="0" fontId="0" fillId="0" borderId="2" xfId="0" applyBorder="1" applyAlignment="1"/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" fillId="0" borderId="0" xfId="0" applyFont="1" applyAlignment="1"/>
    <xf numFmtId="0" fontId="14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4" fontId="0" fillId="0" borderId="0" xfId="0" applyNumberFormat="1" applyAlignment="1">
      <alignment horizontal="left"/>
    </xf>
    <xf numFmtId="167" fontId="0" fillId="0" borderId="2" xfId="0" applyNumberFormat="1" applyFill="1" applyBorder="1" applyProtection="1"/>
    <xf numFmtId="0" fontId="12" fillId="6" borderId="0" xfId="0" applyFont="1" applyFill="1" applyBorder="1" applyAlignment="1">
      <alignment vertical="center" textRotation="90"/>
    </xf>
    <xf numFmtId="0" fontId="18" fillId="6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PA-28-181 NORMAL CATEGORY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'OO-DKM'!$B$24:$B$29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88.6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'OO-DKM'!$C$24:$C$29</c:f>
              <c:numCache>
                <c:formatCode>0.00</c:formatCode>
                <c:ptCount val="6"/>
                <c:pt idx="0">
                  <c:v>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23-4322-A8D0-DC297D746445}"/>
            </c:ext>
          </c:extLst>
        </c:ser>
        <c:ser>
          <c:idx val="1"/>
          <c:order val="1"/>
          <c:tx>
            <c:strRef>
              <c:f>'W&amp;B FORM'!$B$14</c:f>
              <c:strCache>
                <c:ptCount val="1"/>
                <c:pt idx="0">
                  <c:v>TAKEOFF WEIGHT AND MOMENT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rgbClr val="1F497D"/>
                </a:solidFill>
              </a:ln>
            </c:spPr>
          </c:marker>
          <c:xVal>
            <c:strRef>
              <c:f>'W&amp;B FORM'!$J$14</c:f>
              <c:strCache>
                <c:ptCount val="1"/>
                <c:pt idx="0">
                  <c:v>COMPLETE THE FORM</c:v>
                </c:pt>
              </c:strCache>
            </c:strRef>
          </c:xVal>
          <c:yVal>
            <c:numRef>
              <c:f>'W&amp;B FORM'!$U$14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23-4322-A8D0-DC297D746445}"/>
            </c:ext>
          </c:extLst>
        </c:ser>
        <c:ser>
          <c:idx val="3"/>
          <c:order val="2"/>
          <c:tx>
            <c:strRef>
              <c:f>'W&amp;B FORM'!$B$16</c:f>
              <c:strCache>
                <c:ptCount val="1"/>
                <c:pt idx="0">
                  <c:v>LANDING WEIGHT AND MOMENT</c:v>
                </c:pt>
              </c:strCache>
            </c:strRef>
          </c:tx>
          <c:marker>
            <c:symbol val="square"/>
            <c:size val="10"/>
            <c:spPr>
              <a:solidFill>
                <a:schemeClr val="accent2">
                  <a:lumMod val="40000"/>
                  <a:lumOff val="60000"/>
                </a:schemeClr>
              </a:solidFill>
              <a:ln w="28575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strRef>
              <c:f>'W&amp;B FORM'!$J$16</c:f>
              <c:strCache>
                <c:ptCount val="1"/>
                <c:pt idx="0">
                  <c:v>COMPLETE THE FORM</c:v>
                </c:pt>
              </c:strCache>
            </c:strRef>
          </c:xVal>
          <c:yVal>
            <c:numRef>
              <c:f>'W&amp;B FORM'!$U$16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23-4322-A8D0-DC297D746445}"/>
            </c:ext>
          </c:extLst>
        </c:ser>
        <c:ser>
          <c:idx val="4"/>
          <c:order val="3"/>
          <c:tx>
            <c:v>PA-28-181 UTILITY CATEGORY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'OO-DKM'!$D$24:$D$28</c:f>
              <c:numCache>
                <c:formatCode>General</c:formatCode>
                <c:ptCount val="5"/>
                <c:pt idx="0">
                  <c:v>82</c:v>
                </c:pt>
                <c:pt idx="1">
                  <c:v>82</c:v>
                </c:pt>
                <c:pt idx="2">
                  <c:v>83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'OO-DKM'!$E$24:$E$28</c:f>
              <c:numCache>
                <c:formatCode>0.00</c:formatCode>
                <c:ptCount val="5"/>
                <c:pt idx="0">
                  <c:v>0</c:v>
                </c:pt>
                <c:pt idx="1">
                  <c:v>2050</c:v>
                </c:pt>
                <c:pt idx="2">
                  <c:v>2130</c:v>
                </c:pt>
                <c:pt idx="3">
                  <c:v>2130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23-4322-A8D0-DC297D74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41696"/>
        <c:axId val="60203752"/>
      </c:scatterChart>
      <c:valAx>
        <c:axId val="346441696"/>
        <c:scaling>
          <c:orientation val="minMax"/>
          <c:max val="94"/>
          <c:min val="81"/>
        </c:scaling>
        <c:delete val="0"/>
        <c:axPos val="b"/>
        <c:minorGridlines/>
        <c:numFmt formatCode="General" sourceLinked="1"/>
        <c:majorTickMark val="out"/>
        <c:minorTickMark val="in"/>
        <c:tickLblPos val="nextTo"/>
        <c:crossAx val="60203752"/>
        <c:crosses val="autoZero"/>
        <c:crossBetween val="midCat"/>
        <c:majorUnit val="1"/>
        <c:minorUnit val="0.5"/>
      </c:valAx>
      <c:valAx>
        <c:axId val="60203752"/>
        <c:scaling>
          <c:orientation val="minMax"/>
          <c:max val="2700"/>
          <c:min val="1577"/>
        </c:scaling>
        <c:delete val="0"/>
        <c:axPos val="l"/>
        <c:majorGridlines/>
        <c:minorGridlines/>
        <c:numFmt formatCode="0.00" sourceLinked="1"/>
        <c:majorTickMark val="out"/>
        <c:minorTickMark val="in"/>
        <c:tickLblPos val="nextTo"/>
        <c:crossAx val="346441696"/>
        <c:crosses val="autoZero"/>
        <c:crossBetween val="midCat"/>
        <c:majorUnit val="100"/>
        <c:min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W&amp;B</a:t>
            </a:r>
            <a:r>
              <a:rPr lang="en-US" baseline="0"/>
              <a:t> OO-DKM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'OO-DKM'!$B$22:$C$22</c:f>
              <c:strCache>
                <c:ptCount val="1"/>
                <c:pt idx="0">
                  <c:v>NORMAL CATEGORY</c:v>
                </c:pt>
              </c:strCache>
            </c:strRef>
          </c:tx>
          <c:xVal>
            <c:numRef>
              <c:f>'OO-DKM'!$B$24:$B$29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88.6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'OO-DKM'!$C$24:$C$29</c:f>
              <c:numCache>
                <c:formatCode>0.00</c:formatCode>
                <c:ptCount val="6"/>
                <c:pt idx="0">
                  <c:v>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4C-4C15-AA06-8B731C1FA16D}"/>
            </c:ext>
          </c:extLst>
        </c:ser>
        <c:ser>
          <c:idx val="1"/>
          <c:order val="1"/>
          <c:tx>
            <c:strRef>
              <c:f>'OO-DKM'!$D$22</c:f>
              <c:strCache>
                <c:ptCount val="1"/>
                <c:pt idx="0">
                  <c:v>UTILITY CATEGORY</c:v>
                </c:pt>
              </c:strCache>
            </c:strRef>
          </c:tx>
          <c:xVal>
            <c:numRef>
              <c:f>'OO-DKM'!$D$24:$D$28</c:f>
              <c:numCache>
                <c:formatCode>General</c:formatCode>
                <c:ptCount val="5"/>
                <c:pt idx="0">
                  <c:v>82</c:v>
                </c:pt>
                <c:pt idx="1">
                  <c:v>82</c:v>
                </c:pt>
                <c:pt idx="2">
                  <c:v>83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'OO-DKM'!$E$24:$E$28</c:f>
              <c:numCache>
                <c:formatCode>0.00</c:formatCode>
                <c:ptCount val="5"/>
                <c:pt idx="0">
                  <c:v>0</c:v>
                </c:pt>
                <c:pt idx="1">
                  <c:v>2050</c:v>
                </c:pt>
                <c:pt idx="2">
                  <c:v>2130</c:v>
                </c:pt>
                <c:pt idx="3">
                  <c:v>2130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4C-4C15-AA06-8B731C1F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467376"/>
        <c:axId val="60587752"/>
      </c:scatterChart>
      <c:valAx>
        <c:axId val="315467376"/>
        <c:scaling>
          <c:orientation val="minMax"/>
          <c:max val="95"/>
          <c:min val="80"/>
        </c:scaling>
        <c:delete val="0"/>
        <c:axPos val="b"/>
        <c:numFmt formatCode="General" sourceLinked="1"/>
        <c:majorTickMark val="out"/>
        <c:minorTickMark val="in"/>
        <c:tickLblPos val="nextTo"/>
        <c:crossAx val="60587752"/>
        <c:crosses val="autoZero"/>
        <c:crossBetween val="midCat"/>
        <c:majorUnit val="1"/>
        <c:minorUnit val="0.5"/>
      </c:valAx>
      <c:valAx>
        <c:axId val="60587752"/>
        <c:scaling>
          <c:orientation val="minMax"/>
          <c:max val="2600"/>
          <c:min val="15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5467376"/>
        <c:crosses val="autoZero"/>
        <c:crossBetween val="midCat"/>
        <c:majorUnit val="100"/>
        <c:min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5</xdr:col>
      <xdr:colOff>552449</xdr:colOff>
      <xdr:row>4</xdr:row>
      <xdr:rowOff>28575</xdr:rowOff>
    </xdr:to>
    <xdr:pic>
      <xdr:nvPicPr>
        <xdr:cNvPr id="2" name="Afbeelding 1" descr="vcg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44"/>
        <a:stretch>
          <a:fillRect/>
        </a:stretch>
      </xdr:blipFill>
      <xdr:spPr>
        <a:xfrm>
          <a:off x="66675" y="0"/>
          <a:ext cx="4476749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942975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45509</xdr:rowOff>
    </xdr:from>
    <xdr:to>
      <xdr:col>16</xdr:col>
      <xdr:colOff>112184</xdr:colOff>
      <xdr:row>1</xdr:row>
      <xdr:rowOff>26458</xdr:rowOff>
    </xdr:to>
    <xdr:pic>
      <xdr:nvPicPr>
        <xdr:cNvPr id="2" name="Afbeelding 1" descr="vcg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5509"/>
          <a:ext cx="12867217" cy="1600199"/>
        </a:xfrm>
        <a:prstGeom prst="rect">
          <a:avLst/>
        </a:prstGeom>
      </xdr:spPr>
    </xdr:pic>
    <xdr:clientData/>
  </xdr:twoCellAnchor>
  <xdr:twoCellAnchor>
    <xdr:from>
      <xdr:col>1</xdr:col>
      <xdr:colOff>50799</xdr:colOff>
      <xdr:row>17</xdr:row>
      <xdr:rowOff>39159</xdr:rowOff>
    </xdr:from>
    <xdr:to>
      <xdr:col>16</xdr:col>
      <xdr:colOff>31750</xdr:colOff>
      <xdr:row>43</xdr:row>
      <xdr:rowOff>67735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28575</xdr:rowOff>
        </xdr:from>
        <xdr:to>
          <xdr:col>6</xdr:col>
          <xdr:colOff>876300</xdr:colOff>
          <xdr:row>5</xdr:row>
          <xdr:rowOff>85725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Back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114300</xdr:rowOff>
    </xdr:from>
    <xdr:to>
      <xdr:col>8</xdr:col>
      <xdr:colOff>247650</xdr:colOff>
      <xdr:row>46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285750</xdr:colOff>
      <xdr:row>8</xdr:row>
      <xdr:rowOff>104774</xdr:rowOff>
    </xdr:from>
    <xdr:to>
      <xdr:col>27</xdr:col>
      <xdr:colOff>209551</xdr:colOff>
      <xdr:row>48</xdr:row>
      <xdr:rowOff>19050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428" t="10891" r="5025" b="5587"/>
        <a:stretch/>
      </xdr:blipFill>
      <xdr:spPr>
        <a:xfrm>
          <a:off x="14611350" y="2609849"/>
          <a:ext cx="6010276" cy="8401051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8</xdr:row>
      <xdr:rowOff>28574</xdr:rowOff>
    </xdr:from>
    <xdr:to>
      <xdr:col>17</xdr:col>
      <xdr:colOff>647700</xdr:colOff>
      <xdr:row>44</xdr:row>
      <xdr:rowOff>114300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800" t="10321" r="7358" b="12027"/>
        <a:stretch/>
      </xdr:blipFill>
      <xdr:spPr>
        <a:xfrm>
          <a:off x="8258175" y="2533649"/>
          <a:ext cx="6038850" cy="7810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tabColor rgb="FFFFFF00"/>
  </sheetPr>
  <dimension ref="A1:F17"/>
  <sheetViews>
    <sheetView tabSelected="1" workbookViewId="0">
      <selection activeCell="A6" sqref="A6"/>
    </sheetView>
  </sheetViews>
  <sheetFormatPr defaultColWidth="0" defaultRowHeight="15" zeroHeight="1" x14ac:dyDescent="0.25"/>
  <cols>
    <col min="1" max="3" width="9.125" style="64" customWidth="1"/>
    <col min="4" max="4" width="23.25" style="64" bestFit="1" customWidth="1"/>
    <col min="5" max="5" width="9.125" style="65" customWidth="1"/>
    <col min="6" max="6" width="9.125" style="64" customWidth="1"/>
    <col min="7" max="16384" width="9.125" style="64" hidden="1"/>
  </cols>
  <sheetData>
    <row r="1" spans="1:6" x14ac:dyDescent="0.25"/>
    <row r="2" spans="1:6" x14ac:dyDescent="0.25"/>
    <row r="3" spans="1:6" x14ac:dyDescent="0.25"/>
    <row r="4" spans="1:6" ht="24.75" customHeight="1" x14ac:dyDescent="0.25">
      <c r="A4" s="65"/>
      <c r="B4" s="65"/>
      <c r="C4" s="65"/>
      <c r="D4" s="65"/>
      <c r="F4" s="65"/>
    </row>
    <row r="5" spans="1:6" s="66" customFormat="1" x14ac:dyDescent="0.25">
      <c r="A5" s="73" t="s">
        <v>51</v>
      </c>
      <c r="B5" s="73"/>
      <c r="C5" s="73"/>
      <c r="D5" s="73"/>
      <c r="E5" s="94" t="s">
        <v>65</v>
      </c>
      <c r="F5" s="94"/>
    </row>
    <row r="6" spans="1:6" x14ac:dyDescent="0.25">
      <c r="A6" s="65"/>
      <c r="B6" s="65"/>
      <c r="C6" s="65"/>
      <c r="D6" s="65"/>
      <c r="F6" s="65"/>
    </row>
    <row r="7" spans="1:6" ht="31.5" x14ac:dyDescent="0.5">
      <c r="B7" s="126"/>
      <c r="C7" s="127" t="s">
        <v>64</v>
      </c>
      <c r="D7" s="127"/>
      <c r="F7" s="65"/>
    </row>
    <row r="8" spans="1:6" x14ac:dyDescent="0.25">
      <c r="B8" s="126"/>
      <c r="C8" s="68"/>
      <c r="D8" s="65"/>
      <c r="F8" s="65"/>
    </row>
    <row r="9" spans="1:6" ht="21" customHeight="1" x14ac:dyDescent="0.25">
      <c r="A9" s="65"/>
      <c r="B9" s="126"/>
      <c r="C9" s="68" t="s">
        <v>30</v>
      </c>
      <c r="F9" s="65"/>
    </row>
    <row r="10" spans="1:6" ht="16.5" customHeight="1" x14ac:dyDescent="0.25">
      <c r="A10" s="65"/>
      <c r="B10" s="126"/>
      <c r="C10" s="67"/>
      <c r="D10" s="65"/>
      <c r="F10" s="65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x14ac:dyDescent="0.25"/>
    <row r="17" x14ac:dyDescent="0.25"/>
  </sheetData>
  <sheetProtection sheet="1" objects="1" scenarios="1" selectLockedCells="1" selectUnlockedCells="1"/>
  <mergeCells count="2">
    <mergeCell ref="E5:F5"/>
    <mergeCell ref="C7:D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Button 3">
              <controlPr defaultSize="0" print="0" autoFill="0" autoPict="0" macro="[0]!Knop3_Klikken">
                <anchor moveWithCells="1" sizeWithCells="1">
                  <from>
                    <xdr:col>3</xdr:col>
                    <xdr:colOff>942975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2060"/>
    <pageSetUpPr fitToPage="1"/>
  </sheetPr>
  <dimension ref="B1:AH46"/>
  <sheetViews>
    <sheetView zoomScale="90" zoomScaleNormal="90" zoomScalePageLayoutView="90" workbookViewId="0">
      <selection activeCell="H8" sqref="H8"/>
    </sheetView>
  </sheetViews>
  <sheetFormatPr defaultColWidth="8.875" defaultRowHeight="15" x14ac:dyDescent="0.25"/>
  <cols>
    <col min="1" max="1" width="3.375" customWidth="1"/>
    <col min="4" max="4" width="9.875" bestFit="1" customWidth="1"/>
    <col min="5" max="5" width="15.25" customWidth="1"/>
    <col min="6" max="6" width="2" customWidth="1"/>
    <col min="7" max="7" width="21.25" customWidth="1"/>
    <col min="8" max="8" width="12.75" bestFit="1" customWidth="1"/>
    <col min="9" max="9" width="19.375" customWidth="1"/>
    <col min="10" max="10" width="20.25" bestFit="1" customWidth="1"/>
    <col min="11" max="11" width="19.375" customWidth="1"/>
    <col min="12" max="12" width="2.125" customWidth="1"/>
    <col min="13" max="13" width="29.75" customWidth="1"/>
    <col min="14" max="14" width="2.125" customWidth="1"/>
    <col min="17" max="17" width="4.25" customWidth="1"/>
    <col min="18" max="18" width="114.25" customWidth="1"/>
    <col min="19" max="19" width="8.875" style="48"/>
    <col min="20" max="20" width="13.375" customWidth="1"/>
    <col min="21" max="21" width="16.25" bestFit="1" customWidth="1"/>
  </cols>
  <sheetData>
    <row r="1" spans="2:22" ht="127.5" customHeight="1" x14ac:dyDescent="0.25">
      <c r="B1" s="23" t="str">
        <f>Introduction!A5</f>
        <v>remarks? tony.opsomer@gmail.com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 t="str">
        <f>Introduction!E5</f>
        <v>version 2016-10-07</v>
      </c>
    </row>
    <row r="2" spans="2:22" ht="46.5" x14ac:dyDescent="0.7">
      <c r="B2" s="60" t="s">
        <v>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T2" s="43" t="s">
        <v>24</v>
      </c>
    </row>
    <row r="3" spans="2:22" ht="13.5" customHeight="1" x14ac:dyDescent="0.7">
      <c r="B3" s="22"/>
      <c r="C3" s="22"/>
      <c r="D3" s="22"/>
      <c r="E3" s="22"/>
      <c r="F3" s="39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22" ht="15.75" thickBot="1" x14ac:dyDescent="0.3">
      <c r="B4" s="4"/>
      <c r="D4" s="38"/>
      <c r="E4" s="104"/>
      <c r="F4" s="104"/>
      <c r="G4" s="104"/>
    </row>
    <row r="5" spans="2:22" x14ac:dyDescent="0.25">
      <c r="B5" s="4"/>
      <c r="D5" s="37"/>
      <c r="H5" s="16" t="s">
        <v>13</v>
      </c>
      <c r="I5" s="17" t="s">
        <v>1</v>
      </c>
      <c r="J5" s="17" t="s">
        <v>5</v>
      </c>
      <c r="K5" s="18" t="s">
        <v>2</v>
      </c>
      <c r="M5" s="97" t="s">
        <v>22</v>
      </c>
      <c r="N5" s="98"/>
      <c r="O5" s="98"/>
      <c r="P5" s="99"/>
    </row>
    <row r="6" spans="2:22" x14ac:dyDescent="0.25">
      <c r="D6" t="s">
        <v>16</v>
      </c>
      <c r="H6" s="16" t="s">
        <v>12</v>
      </c>
      <c r="I6" s="17" t="s">
        <v>3</v>
      </c>
      <c r="J6" s="17" t="s">
        <v>59</v>
      </c>
      <c r="K6" s="18" t="s">
        <v>60</v>
      </c>
      <c r="M6" s="112" t="s">
        <v>23</v>
      </c>
      <c r="N6" s="113"/>
      <c r="O6" s="113"/>
      <c r="P6" s="114"/>
    </row>
    <row r="7" spans="2:22" x14ac:dyDescent="0.25">
      <c r="B7" s="12" t="s">
        <v>15</v>
      </c>
      <c r="C7" s="13"/>
      <c r="D7" s="13"/>
      <c r="E7" s="13"/>
      <c r="F7" s="13"/>
      <c r="G7" s="13"/>
      <c r="H7" s="19"/>
      <c r="I7" s="21">
        <f>'OO-DKM'!C10</f>
        <v>715.31142999999997</v>
      </c>
      <c r="J7" s="21">
        <v>88.25</v>
      </c>
      <c r="K7" s="89">
        <f>'OO-DKM'!E12</f>
        <v>139176.32000000001</v>
      </c>
      <c r="M7" s="45"/>
      <c r="N7" s="46"/>
      <c r="O7" s="46"/>
      <c r="P7" s="47"/>
      <c r="T7" s="104"/>
      <c r="U7" s="104"/>
    </row>
    <row r="8" spans="2:22" x14ac:dyDescent="0.25">
      <c r="B8" s="14" t="s">
        <v>14</v>
      </c>
      <c r="C8" s="15"/>
      <c r="D8" s="15" t="s">
        <v>18</v>
      </c>
      <c r="E8" s="93">
        <v>95</v>
      </c>
      <c r="F8" s="119" t="s">
        <v>49</v>
      </c>
      <c r="G8" s="119"/>
      <c r="H8" s="55"/>
      <c r="I8" s="27">
        <f>H8*0.72</f>
        <v>0</v>
      </c>
      <c r="J8" s="28">
        <f>E8</f>
        <v>95</v>
      </c>
      <c r="K8" s="29">
        <f>I8*2.20462262185*J8</f>
        <v>0</v>
      </c>
      <c r="M8" s="44" t="str">
        <f>IF(H8="","COMPLETE THE FORM",IF(H8&gt;'OO-DKM'!E4,"FUEL TANK OVERFLOW","FUEL QUANTITY WITHIN LIMIT"))</f>
        <v>COMPLETE THE FORM</v>
      </c>
      <c r="N8" s="46"/>
      <c r="O8" s="115" t="str">
        <f>IF(OR(H8="",I9="",I10="",I11="",,I12="",I13=""),"COMPLETE THE FORM",IF(SUM(I7:I13)&gt;'OO-DKM'!C15,"TOO MUCH USEFUL LOAD",IF(SUM(I7:I13)&gt;'OO-DKM'!C16,"TOTAL USEFUL LOAD WITHIN NORMAL CATEGORY LIMIT","TOTAL USEFUL LOAD WITHIN UTILITY CATEGORY")))</f>
        <v>COMPLETE THE FORM</v>
      </c>
      <c r="P8" s="116"/>
      <c r="T8" s="50"/>
    </row>
    <row r="9" spans="2:22" x14ac:dyDescent="0.25">
      <c r="B9" s="14" t="s">
        <v>11</v>
      </c>
      <c r="C9" s="15"/>
      <c r="D9" s="15" t="s">
        <v>18</v>
      </c>
      <c r="E9" s="125">
        <v>80.5</v>
      </c>
      <c r="F9" s="119" t="s">
        <v>49</v>
      </c>
      <c r="G9" s="119"/>
      <c r="H9" s="20"/>
      <c r="I9" s="54"/>
      <c r="J9" s="28">
        <f>E9</f>
        <v>80.5</v>
      </c>
      <c r="K9" s="29">
        <f t="shared" ref="K9:K13" si="0">I9*2.20462262185*J9</f>
        <v>0</v>
      </c>
      <c r="M9" s="45"/>
      <c r="N9" s="46"/>
      <c r="O9" s="117"/>
      <c r="P9" s="118"/>
      <c r="T9" s="50"/>
      <c r="U9" s="50"/>
    </row>
    <row r="10" spans="2:22" x14ac:dyDescent="0.25">
      <c r="B10" s="14" t="s">
        <v>10</v>
      </c>
      <c r="C10" s="15"/>
      <c r="D10" s="15" t="s">
        <v>18</v>
      </c>
      <c r="E10" s="125">
        <v>80.5</v>
      </c>
      <c r="F10" s="111" t="s">
        <v>49</v>
      </c>
      <c r="G10" s="111"/>
      <c r="H10" s="20"/>
      <c r="I10" s="54"/>
      <c r="J10" s="28">
        <f t="shared" ref="J10:J13" si="1">E10</f>
        <v>80.5</v>
      </c>
      <c r="K10" s="29">
        <f t="shared" si="0"/>
        <v>0</v>
      </c>
      <c r="M10" s="45"/>
      <c r="N10" s="46"/>
      <c r="O10" s="117"/>
      <c r="P10" s="118"/>
      <c r="T10" s="50"/>
      <c r="U10" s="50"/>
    </row>
    <row r="11" spans="2:22" x14ac:dyDescent="0.25">
      <c r="B11" s="14" t="s">
        <v>43</v>
      </c>
      <c r="C11" s="15"/>
      <c r="D11" s="15" t="s">
        <v>18</v>
      </c>
      <c r="E11" s="125">
        <v>118.1</v>
      </c>
      <c r="F11" s="111" t="s">
        <v>49</v>
      </c>
      <c r="G11" s="111"/>
      <c r="H11" s="20"/>
      <c r="I11" s="54"/>
      <c r="J11" s="28">
        <f t="shared" si="1"/>
        <v>118.1</v>
      </c>
      <c r="K11" s="29">
        <f t="shared" si="0"/>
        <v>0</v>
      </c>
      <c r="M11" s="45"/>
      <c r="N11" s="46"/>
      <c r="O11" s="117"/>
      <c r="P11" s="118"/>
      <c r="T11" s="50"/>
      <c r="U11" s="50"/>
    </row>
    <row r="12" spans="2:22" x14ac:dyDescent="0.25">
      <c r="B12" s="14" t="s">
        <v>44</v>
      </c>
      <c r="C12" s="15"/>
      <c r="D12" s="15" t="s">
        <v>18</v>
      </c>
      <c r="E12" s="125">
        <v>118.1</v>
      </c>
      <c r="F12" s="111" t="s">
        <v>49</v>
      </c>
      <c r="G12" s="111"/>
      <c r="H12" s="20"/>
      <c r="I12" s="54"/>
      <c r="J12" s="28">
        <f t="shared" si="1"/>
        <v>118.1</v>
      </c>
      <c r="K12" s="29">
        <f t="shared" si="0"/>
        <v>0</v>
      </c>
      <c r="M12" s="45"/>
      <c r="N12" s="46"/>
      <c r="O12" s="117"/>
      <c r="P12" s="118"/>
      <c r="T12" s="50"/>
      <c r="U12" s="50"/>
    </row>
    <row r="13" spans="2:22" x14ac:dyDescent="0.25">
      <c r="B13" s="14" t="s">
        <v>0</v>
      </c>
      <c r="C13" s="15"/>
      <c r="D13" s="15" t="s">
        <v>18</v>
      </c>
      <c r="E13" s="125">
        <v>142.80000000000001</v>
      </c>
      <c r="F13" s="119" t="s">
        <v>49</v>
      </c>
      <c r="G13" s="119"/>
      <c r="H13" s="20"/>
      <c r="I13" s="54"/>
      <c r="J13" s="28">
        <f t="shared" si="1"/>
        <v>142.80000000000001</v>
      </c>
      <c r="K13" s="29">
        <f t="shared" si="0"/>
        <v>0</v>
      </c>
      <c r="M13" s="90" t="str">
        <f>IF(OR(I13=""),"COMPLETE THE FORM",IF(I13&gt;'OO-DKM'!C19,"TOO MUCH BAGGAGE","BAGGAGE WEIGHT WITHIN LIMITS"))</f>
        <v>COMPLETE THE FORM</v>
      </c>
      <c r="N13" s="46"/>
      <c r="O13" s="117"/>
      <c r="P13" s="118"/>
      <c r="T13" s="50"/>
      <c r="U13" s="50"/>
    </row>
    <row r="14" spans="2:22" x14ac:dyDescent="0.25">
      <c r="B14" s="33" t="s">
        <v>62</v>
      </c>
      <c r="C14" s="34"/>
      <c r="D14" s="34"/>
      <c r="E14" s="34"/>
      <c r="F14" s="34"/>
      <c r="G14" s="34"/>
      <c r="H14" s="86"/>
      <c r="I14" s="35" t="str">
        <f>IF(OR(H8="",I9="",I10="",I11="",,I12="",I13=""),"COMPLETE THE FORM",SUM(I7:I13))</f>
        <v>COMPLETE THE FORM</v>
      </c>
      <c r="J14" s="35" t="str">
        <f>IF(I14="COMPLETE THE FORM","COMPLETE THE FORM",K14/U14)</f>
        <v>COMPLETE THE FORM</v>
      </c>
      <c r="K14" s="36" t="str">
        <f>IF(OR(H8="",I9="",I10="",I11="",,I12="",I13=""),"COMPLETE THE FORM",SUM(K7:K13))</f>
        <v>COMPLETE THE FORM</v>
      </c>
      <c r="L14" s="26"/>
      <c r="M14" s="101" t="str">
        <f>IF(I14="COMPLETE THE FORM","COMPLETE THE FORM","CHECK RESULTS IN GRAPH BELOW")</f>
        <v>COMPLETE THE FORM</v>
      </c>
      <c r="N14" s="102"/>
      <c r="O14" s="102"/>
      <c r="P14" s="103"/>
      <c r="T14" t="s">
        <v>63</v>
      </c>
      <c r="U14" s="1" t="e">
        <f>I14*2.20462262185</f>
        <v>#VALUE!</v>
      </c>
    </row>
    <row r="15" spans="2:22" s="11" customFormat="1" x14ac:dyDescent="0.25">
      <c r="B15" s="24" t="s">
        <v>20</v>
      </c>
      <c r="C15" s="25"/>
      <c r="D15" s="40"/>
      <c r="E15" s="53"/>
      <c r="F15" s="42" t="s">
        <v>21</v>
      </c>
      <c r="H15" s="41">
        <f>(HOUR(E15)*60+MINUTE(E15))/60*'OO-DKM'!E6</f>
        <v>0</v>
      </c>
      <c r="I15" s="30">
        <f>H15*0.72</f>
        <v>0</v>
      </c>
      <c r="J15" s="31">
        <f>E8</f>
        <v>95</v>
      </c>
      <c r="K15" s="32">
        <f>I15*2.20462262185*J15</f>
        <v>0</v>
      </c>
      <c r="L15" s="26"/>
      <c r="M15" s="108" t="str">
        <f>IF(OR(H8="",I9="",I10="",I11="",,I12="",I13="",E15=""),"COMPLETE THE FORM",IF((H15)&gt;H8,"NOT ENOUGH FUEL TO COMPLETE THE TRIP",IF((H15)&gt;(H8-'OO-DKM'!E6/60*45),"DANGER! DANGER! FUEL RESERVE LESS THAN 45 MIN","TRIP TIME WITHIN LIMIT")))</f>
        <v>COMPLETE THE FORM</v>
      </c>
      <c r="N15" s="109"/>
      <c r="O15" s="109"/>
      <c r="P15" s="110"/>
      <c r="S15" s="48"/>
      <c r="T15" s="7"/>
      <c r="U15" s="8"/>
    </row>
    <row r="16" spans="2:22" ht="15.75" thickBot="1" x14ac:dyDescent="0.3">
      <c r="B16" s="56" t="s">
        <v>19</v>
      </c>
      <c r="C16" s="57"/>
      <c r="D16" s="57"/>
      <c r="E16" s="57"/>
      <c r="F16" s="57"/>
      <c r="G16" s="57"/>
      <c r="H16" s="87"/>
      <c r="I16" s="58" t="str">
        <f>IF(OR(H8="",I9="",I10="",I11="",,I12="",I13="",E15=""),"COMPLETE THE FORM",IF(M15="TRIP TIME TOO BIG","CHECK TRIP TIME",I14-I15))</f>
        <v>COMPLETE THE FORM</v>
      </c>
      <c r="J16" s="58" t="str">
        <f>IF(I16="COMPLETE THE FORM","COMPLETE THE FORM",IF(I16="CHECK TRIP TIME","CHECK TRIP TIME",K16/U16))</f>
        <v>COMPLETE THE FORM</v>
      </c>
      <c r="K16" s="59" t="str">
        <f>IF(OR(H8="",I9="",I10="",I11="",,I12="",I13="",E15=""),"COMPLETE THE FORM",IF(M15="TRIP TIME TOO BIG","CHECK TRIP TIME",K14-K15))</f>
        <v>COMPLETE THE FORM</v>
      </c>
      <c r="L16" s="26"/>
      <c r="M16" s="105" t="str">
        <f>IF(I16="COMPLETE THE FORM","COMPLETE THE FORM",IF(I16="CHECK TRIP TIME","","CHECK RESULTS IN GRAPH BELOW"))</f>
        <v>COMPLETE THE FORM</v>
      </c>
      <c r="N16" s="106"/>
      <c r="O16" s="106"/>
      <c r="P16" s="107"/>
      <c r="T16" s="124" t="s">
        <v>61</v>
      </c>
      <c r="U16" s="6" t="e">
        <f>I16*2.20462262185</f>
        <v>#VALUE!</v>
      </c>
      <c r="V16" s="63"/>
    </row>
    <row r="17" spans="20:34" x14ac:dyDescent="0.25">
      <c r="T17" s="51"/>
      <c r="U17" s="6"/>
      <c r="V17" s="63"/>
    </row>
    <row r="18" spans="20:34" x14ac:dyDescent="0.25">
      <c r="T18" s="51"/>
      <c r="U18" s="6"/>
      <c r="V18" s="63"/>
    </row>
    <row r="19" spans="20:34" x14ac:dyDescent="0.25">
      <c r="T19" s="51"/>
      <c r="U19" s="6"/>
      <c r="V19" s="63"/>
    </row>
    <row r="20" spans="20:34" x14ac:dyDescent="0.25">
      <c r="T20" s="51"/>
      <c r="U20" s="6"/>
      <c r="V20" s="63"/>
    </row>
    <row r="21" spans="20:34" x14ac:dyDescent="0.25">
      <c r="T21" s="51"/>
    </row>
    <row r="25" spans="20:34" x14ac:dyDescent="0.25">
      <c r="T25" s="100" t="s">
        <v>25</v>
      </c>
      <c r="U25" s="100"/>
      <c r="V25" s="100"/>
    </row>
    <row r="26" spans="20:34" x14ac:dyDescent="0.25">
      <c r="T26" s="51"/>
      <c r="U26" s="6"/>
      <c r="W26" t="s">
        <v>27</v>
      </c>
      <c r="X26" t="s">
        <v>28</v>
      </c>
    </row>
    <row r="27" spans="20:34" x14ac:dyDescent="0.25">
      <c r="T27" s="51" t="s">
        <v>26</v>
      </c>
      <c r="U27" s="6"/>
      <c r="W27">
        <f>TRUNC(U27/60,0)</f>
        <v>0</v>
      </c>
      <c r="X27">
        <f>ROUND((U27/60-TRUNC(U27/60))*60,0)</f>
        <v>0</v>
      </c>
    </row>
    <row r="29" spans="20:34" x14ac:dyDescent="0.25">
      <c r="W29" t="s">
        <v>21</v>
      </c>
      <c r="X29" s="52">
        <f>TIME(W27,X27,)</f>
        <v>0</v>
      </c>
    </row>
    <row r="32" spans="20:34" x14ac:dyDescent="0.25">
      <c r="T32" s="6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2:34" x14ac:dyDescent="0.25">
      <c r="T33" s="49"/>
      <c r="U33" s="49"/>
      <c r="V33" s="49"/>
      <c r="W33" s="49"/>
      <c r="X33" s="49"/>
      <c r="Y33" s="49"/>
      <c r="Z33" s="49"/>
      <c r="AA33" s="95"/>
      <c r="AB33" s="95"/>
      <c r="AC33" s="95"/>
      <c r="AD33" s="95"/>
      <c r="AE33" s="95"/>
      <c r="AF33" s="95"/>
      <c r="AG33" s="49"/>
      <c r="AH33" s="49"/>
    </row>
    <row r="34" spans="2:34" x14ac:dyDescent="0.25">
      <c r="T34" s="49"/>
      <c r="U34" s="49"/>
      <c r="V34" s="49"/>
      <c r="W34" s="49"/>
      <c r="X34" s="49"/>
      <c r="Y34" s="49"/>
      <c r="Z34" s="49"/>
      <c r="AA34" s="49"/>
      <c r="AB34" s="70"/>
      <c r="AC34" s="49"/>
      <c r="AD34" s="49"/>
      <c r="AE34" s="25"/>
      <c r="AF34" s="95"/>
      <c r="AG34" s="49"/>
      <c r="AH34" s="49"/>
    </row>
    <row r="35" spans="2:34" x14ac:dyDescent="0.25">
      <c r="T35" s="49"/>
      <c r="U35" s="49"/>
      <c r="V35" s="49"/>
      <c r="W35" s="71"/>
      <c r="X35" s="49"/>
      <c r="Y35" s="71"/>
      <c r="Z35" s="49"/>
      <c r="AA35" s="49"/>
      <c r="AB35" s="70"/>
      <c r="AC35" s="49"/>
      <c r="AD35" s="49"/>
      <c r="AE35" s="49"/>
      <c r="AF35" s="49"/>
      <c r="AG35" s="49"/>
      <c r="AH35" s="49"/>
    </row>
    <row r="36" spans="2:34" x14ac:dyDescent="0.25">
      <c r="T36" s="49"/>
      <c r="U36" s="49"/>
      <c r="V36" s="49"/>
      <c r="W36" s="71"/>
      <c r="X36" s="49"/>
      <c r="Y36" s="71"/>
      <c r="Z36" s="49"/>
      <c r="AA36" s="49"/>
      <c r="AB36" s="70"/>
      <c r="AC36" s="49"/>
      <c r="AD36" s="49"/>
      <c r="AE36" s="49"/>
      <c r="AF36" s="49"/>
      <c r="AG36" s="49"/>
      <c r="AH36" s="49"/>
    </row>
    <row r="37" spans="2:34" x14ac:dyDescent="0.25">
      <c r="T37" s="49"/>
      <c r="U37" s="49"/>
      <c r="V37" s="49"/>
      <c r="W37" s="71"/>
      <c r="X37" s="49"/>
      <c r="Y37" s="71"/>
      <c r="Z37" s="49"/>
      <c r="AA37" s="49"/>
      <c r="AB37" s="70"/>
      <c r="AC37" s="49"/>
      <c r="AD37" s="49"/>
      <c r="AE37" s="49"/>
      <c r="AF37" s="49"/>
      <c r="AG37" s="49"/>
      <c r="AH37" s="49"/>
    </row>
    <row r="38" spans="2:34" x14ac:dyDescent="0.25"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2:34" x14ac:dyDescent="0.25">
      <c r="T39" s="49"/>
      <c r="U39" s="49"/>
      <c r="V39" s="49"/>
      <c r="W39" s="49"/>
      <c r="X39" s="49"/>
      <c r="Y39" s="72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2:34" x14ac:dyDescent="0.25"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2:34" x14ac:dyDescent="0.25">
      <c r="T41" s="49"/>
      <c r="U41" s="49"/>
      <c r="V41" s="49"/>
      <c r="W41" s="71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2:34" x14ac:dyDescent="0.25">
      <c r="T42" s="49"/>
      <c r="U42" s="49"/>
      <c r="V42" s="49"/>
      <c r="W42" s="71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2:34" x14ac:dyDescent="0.25">
      <c r="T43" s="49"/>
      <c r="U43" s="49"/>
      <c r="V43" s="49"/>
      <c r="W43" s="71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2:34" x14ac:dyDescent="0.25">
      <c r="T44" s="49"/>
      <c r="U44" s="49"/>
      <c r="V44" s="49"/>
      <c r="W44" s="71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2:34" ht="15" customHeight="1" x14ac:dyDescent="0.25">
      <c r="B45" s="96" t="s">
        <v>29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2:34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</sheetData>
  <sheetProtection sheet="1" selectLockedCells="1"/>
  <mergeCells count="19">
    <mergeCell ref="E4:G4"/>
    <mergeCell ref="M6:P6"/>
    <mergeCell ref="O8:P13"/>
    <mergeCell ref="F13:G13"/>
    <mergeCell ref="F10:G10"/>
    <mergeCell ref="F9:G9"/>
    <mergeCell ref="F8:G8"/>
    <mergeCell ref="F11:G11"/>
    <mergeCell ref="AA33:AC33"/>
    <mergeCell ref="AD33:AE33"/>
    <mergeCell ref="AF33:AF34"/>
    <mergeCell ref="B45:P45"/>
    <mergeCell ref="M5:P5"/>
    <mergeCell ref="T25:V25"/>
    <mergeCell ref="M14:P14"/>
    <mergeCell ref="T7:U7"/>
    <mergeCell ref="M16:P16"/>
    <mergeCell ref="M15:P15"/>
    <mergeCell ref="F12:G12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Button 17">
              <controlPr defaultSize="0" print="0" autoFill="0" autoPict="0" macro="[0]!Knop149_Klikken">
                <anchor moveWithCells="1">
                  <from>
                    <xdr:col>6</xdr:col>
                    <xdr:colOff>304800</xdr:colOff>
                    <xdr:row>4</xdr:row>
                    <xdr:rowOff>28575</xdr:rowOff>
                  </from>
                  <to>
                    <xdr:col>6</xdr:col>
                    <xdr:colOff>876300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2"/>
  </sheetPr>
  <dimension ref="B2:O77"/>
  <sheetViews>
    <sheetView workbookViewId="0">
      <selection activeCell="H19" sqref="H19"/>
    </sheetView>
  </sheetViews>
  <sheetFormatPr defaultColWidth="8.875" defaultRowHeight="15" x14ac:dyDescent="0.25"/>
  <cols>
    <col min="2" max="2" width="19.875" customWidth="1"/>
    <col min="3" max="3" width="10.875" style="1" customWidth="1"/>
    <col min="4" max="4" width="12.875" customWidth="1"/>
    <col min="5" max="5" width="11.375" customWidth="1"/>
    <col min="6" max="7" width="13.25" customWidth="1"/>
  </cols>
  <sheetData>
    <row r="2" spans="2:8" ht="92.25" x14ac:dyDescent="1.35">
      <c r="B2" s="2" t="s">
        <v>53</v>
      </c>
    </row>
    <row r="3" spans="2:8" x14ac:dyDescent="0.25">
      <c r="B3" s="120" t="s">
        <v>7</v>
      </c>
      <c r="C3" s="120"/>
      <c r="D3" s="120"/>
      <c r="E3" s="120"/>
      <c r="F3" s="120"/>
      <c r="G3" s="3"/>
    </row>
    <row r="4" spans="2:8" x14ac:dyDescent="0.25">
      <c r="B4" s="10" t="s">
        <v>42</v>
      </c>
      <c r="C4" s="10">
        <v>48</v>
      </c>
      <c r="D4" t="s">
        <v>31</v>
      </c>
      <c r="E4" s="82">
        <f>C4*3.785412</f>
        <v>181.69977599999999</v>
      </c>
      <c r="F4" s="9" t="s">
        <v>32</v>
      </c>
      <c r="G4" s="83"/>
    </row>
    <row r="5" spans="2:8" x14ac:dyDescent="0.25">
      <c r="B5" s="10" t="s">
        <v>38</v>
      </c>
      <c r="C5" s="9">
        <v>2</v>
      </c>
      <c r="D5" s="9" t="s">
        <v>31</v>
      </c>
      <c r="E5" s="82">
        <f>C5*3.785412</f>
        <v>7.570824</v>
      </c>
      <c r="F5" s="3" t="s">
        <v>32</v>
      </c>
      <c r="G5" s="3"/>
    </row>
    <row r="6" spans="2:8" x14ac:dyDescent="0.25">
      <c r="B6" s="10" t="s">
        <v>39</v>
      </c>
      <c r="C6" s="9">
        <v>10.5</v>
      </c>
      <c r="D6" s="10" t="s">
        <v>40</v>
      </c>
      <c r="E6" s="84">
        <f>C6*3.785412</f>
        <v>39.746825999999999</v>
      </c>
      <c r="F6" s="9" t="s">
        <v>41</v>
      </c>
      <c r="G6" s="75"/>
    </row>
    <row r="7" spans="2:8" x14ac:dyDescent="0.25">
      <c r="B7" s="9" t="s">
        <v>45</v>
      </c>
      <c r="C7" s="84">
        <f>E4/E6</f>
        <v>4.5714285714285712</v>
      </c>
      <c r="D7" s="9" t="s">
        <v>46</v>
      </c>
      <c r="E7" s="88" t="str">
        <f>INT(C7)&amp;":"&amp;ROUND((C7-INT(C7))*60,0)</f>
        <v>4:34</v>
      </c>
      <c r="F7" s="9"/>
      <c r="G7" s="74"/>
    </row>
    <row r="8" spans="2:8" x14ac:dyDescent="0.25">
      <c r="B8" s="9"/>
      <c r="C8" s="85"/>
      <c r="D8" s="85"/>
      <c r="E8" s="85"/>
      <c r="F8" s="85"/>
      <c r="G8" s="85"/>
    </row>
    <row r="9" spans="2:8" x14ac:dyDescent="0.25">
      <c r="B9" s="3" t="s">
        <v>8</v>
      </c>
      <c r="C9" s="3"/>
      <c r="D9" s="3"/>
      <c r="E9" s="3"/>
      <c r="F9" s="3"/>
      <c r="G9" s="3"/>
      <c r="H9" s="4" t="s">
        <v>17</v>
      </c>
    </row>
    <row r="10" spans="2:8" x14ac:dyDescent="0.25">
      <c r="B10" t="s">
        <v>4</v>
      </c>
      <c r="C10" s="1">
        <f>E10*0.45359</f>
        <v>715.31142999999997</v>
      </c>
      <c r="D10" t="s">
        <v>47</v>
      </c>
      <c r="E10" s="1">
        <v>1577</v>
      </c>
      <c r="F10" t="s">
        <v>35</v>
      </c>
    </row>
    <row r="11" spans="2:8" x14ac:dyDescent="0.25">
      <c r="B11" t="s">
        <v>5</v>
      </c>
      <c r="E11" s="1">
        <v>88.25</v>
      </c>
      <c r="F11" t="s">
        <v>49</v>
      </c>
    </row>
    <row r="12" spans="2:8" x14ac:dyDescent="0.25">
      <c r="B12" t="s">
        <v>6</v>
      </c>
      <c r="E12" s="1">
        <v>139176.32000000001</v>
      </c>
      <c r="F12" t="s">
        <v>54</v>
      </c>
    </row>
    <row r="13" spans="2:8" x14ac:dyDescent="0.25">
      <c r="E13" s="1"/>
    </row>
    <row r="14" spans="2:8" x14ac:dyDescent="0.25">
      <c r="B14" s="4" t="s">
        <v>50</v>
      </c>
      <c r="E14" s="1"/>
    </row>
    <row r="15" spans="2:8" x14ac:dyDescent="0.25">
      <c r="B15" s="77" t="s">
        <v>36</v>
      </c>
      <c r="C15" s="1">
        <f>E15*0.45359</f>
        <v>1156.6544999999999</v>
      </c>
      <c r="D15" t="s">
        <v>47</v>
      </c>
      <c r="E15" s="1">
        <v>2550</v>
      </c>
      <c r="F15" t="s">
        <v>35</v>
      </c>
    </row>
    <row r="16" spans="2:8" x14ac:dyDescent="0.25">
      <c r="B16" s="76" t="s">
        <v>37</v>
      </c>
      <c r="C16" s="1">
        <f>E16*0.45359</f>
        <v>966.14670000000001</v>
      </c>
      <c r="D16" t="s">
        <v>47</v>
      </c>
      <c r="E16" s="1">
        <v>2130</v>
      </c>
      <c r="F16" t="s">
        <v>35</v>
      </c>
    </row>
    <row r="17" spans="2:8" x14ac:dyDescent="0.25">
      <c r="E17" s="1"/>
    </row>
    <row r="18" spans="2:8" x14ac:dyDescent="0.25">
      <c r="B18" s="4" t="s">
        <v>48</v>
      </c>
      <c r="E18" s="1"/>
    </row>
    <row r="19" spans="2:8" ht="15" customHeight="1" x14ac:dyDescent="0.25">
      <c r="B19" t="s">
        <v>58</v>
      </c>
      <c r="C19" s="92">
        <f>E19*0.45359</f>
        <v>90.718000000000004</v>
      </c>
      <c r="D19" t="s">
        <v>47</v>
      </c>
      <c r="E19" s="92">
        <v>200</v>
      </c>
      <c r="F19" t="s">
        <v>35</v>
      </c>
      <c r="G19" s="91"/>
      <c r="H19" s="91"/>
    </row>
    <row r="21" spans="2:8" x14ac:dyDescent="0.25">
      <c r="B21" s="4" t="s">
        <v>9</v>
      </c>
    </row>
    <row r="22" spans="2:8" x14ac:dyDescent="0.25">
      <c r="B22" s="121" t="s">
        <v>33</v>
      </c>
      <c r="C22" s="121"/>
      <c r="D22" s="78" t="s">
        <v>34</v>
      </c>
    </row>
    <row r="23" spans="2:8" x14ac:dyDescent="0.25">
      <c r="B23" s="7" t="s">
        <v>55</v>
      </c>
      <c r="C23" s="8" t="s">
        <v>57</v>
      </c>
      <c r="D23" s="79" t="s">
        <v>55</v>
      </c>
      <c r="E23" s="8" t="s">
        <v>57</v>
      </c>
    </row>
    <row r="24" spans="2:8" x14ac:dyDescent="0.25">
      <c r="B24" s="5">
        <v>82</v>
      </c>
      <c r="C24" s="6">
        <v>0</v>
      </c>
      <c r="D24" s="80">
        <v>82</v>
      </c>
      <c r="E24" s="6">
        <v>0</v>
      </c>
    </row>
    <row r="25" spans="2:8" x14ac:dyDescent="0.25">
      <c r="B25">
        <v>82</v>
      </c>
      <c r="C25" s="1">
        <v>2050</v>
      </c>
      <c r="D25" s="81">
        <v>82</v>
      </c>
      <c r="E25" s="1">
        <v>2050</v>
      </c>
    </row>
    <row r="26" spans="2:8" x14ac:dyDescent="0.25">
      <c r="B26">
        <v>88.6</v>
      </c>
      <c r="C26" s="1">
        <v>2550</v>
      </c>
      <c r="D26" s="81">
        <v>83</v>
      </c>
      <c r="E26" s="1">
        <v>2130</v>
      </c>
    </row>
    <row r="27" spans="2:8" x14ac:dyDescent="0.25">
      <c r="B27">
        <v>93</v>
      </c>
      <c r="C27" s="1">
        <v>2550</v>
      </c>
      <c r="D27" s="81">
        <v>93</v>
      </c>
      <c r="E27" s="1">
        <v>2130</v>
      </c>
    </row>
    <row r="28" spans="2:8" x14ac:dyDescent="0.25">
      <c r="B28">
        <v>93</v>
      </c>
      <c r="C28" s="1">
        <v>0</v>
      </c>
      <c r="D28" s="81">
        <v>93</v>
      </c>
      <c r="E28" s="1">
        <v>0</v>
      </c>
    </row>
    <row r="29" spans="2:8" x14ac:dyDescent="0.25">
      <c r="D29" s="81"/>
      <c r="E29" s="1"/>
    </row>
    <row r="30" spans="2:8" ht="83.25" customHeight="1" x14ac:dyDescent="0.25">
      <c r="D30" s="122" t="s">
        <v>56</v>
      </c>
      <c r="E30" s="123"/>
    </row>
    <row r="75" spans="2:15" x14ac:dyDescent="0.25">
      <c r="B75" s="4"/>
    </row>
    <row r="76" spans="2:15" x14ac:dyDescent="0.25">
      <c r="B76" s="4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</row>
    <row r="77" spans="2:15" x14ac:dyDescent="0.25">
      <c r="B77" s="4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</row>
  </sheetData>
  <sheetProtection sheet="1" selectLockedCells="1" selectUnlockedCells="1"/>
  <mergeCells count="3">
    <mergeCell ref="B3:F3"/>
    <mergeCell ref="B22:C22"/>
    <mergeCell ref="D30:E3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Introduction</vt:lpstr>
      <vt:lpstr>W&amp;B FORM</vt:lpstr>
      <vt:lpstr>OO-DKM</vt:lpstr>
      <vt:lpstr>'W&amp;B FORM'!Afdrukbereik</vt:lpstr>
    </vt:vector>
  </TitlesOfParts>
  <Company>Katholieke Hogeschool Zuid-West-Vlaanderen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VCG C152</dc:title>
  <dc:subject>Vlieclub Grimbergen</dc:subject>
  <dc:creator>Tony Opsomer</dc:creator>
  <cp:keywords>Flight log, performance, weight &amp; balance</cp:keywords>
  <cp:lastModifiedBy>Tony Opsomer</cp:lastModifiedBy>
  <cp:lastPrinted>2016-10-07T15:09:13Z</cp:lastPrinted>
  <dcterms:created xsi:type="dcterms:W3CDTF">2008-07-08T18:06:24Z</dcterms:created>
  <dcterms:modified xsi:type="dcterms:W3CDTF">2016-10-07T15:18:05Z</dcterms:modified>
</cp:coreProperties>
</file>