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template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 codeName="{4D1C537B-E38A-612A-F078-A93A15B4B7F4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\Dropbox\VLIEGEN\performance and W&amp;B C172R OO-VCW\"/>
    </mc:Choice>
  </mc:AlternateContent>
  <xr:revisionPtr revIDLastSave="0" documentId="13_ncr:1_{6BB506D6-AB95-487C-B4A1-7A32D6126C4F}" xr6:coauthVersionLast="46" xr6:coauthVersionMax="46" xr10:uidLastSave="{00000000-0000-0000-0000-000000000000}"/>
  <bookViews>
    <workbookView xWindow="-96" yWindow="-96" windowWidth="23232" windowHeight="12552" tabRatio="738" xr2:uid="{00000000-000D-0000-FFFF-FFFF00000000}"/>
  </bookViews>
  <sheets>
    <sheet name="Introduction" sheetId="13" r:id="rId1"/>
    <sheet name="W&amp;B FORM" sheetId="1" r:id="rId2"/>
    <sheet name="Performance FORM" sheetId="8" r:id="rId3"/>
    <sheet name="C172 Performance specs" sheetId="9" r:id="rId4"/>
    <sheet name="OO-VCW" sheetId="4" r:id="rId5"/>
  </sheets>
  <definedNames>
    <definedName name="_xlnm.Print_Area" localSheetId="2">'Performance FORM'!$B$1:$I$46</definedName>
    <definedName name="_xlnm.Print_Area" localSheetId="1">'W&amp;B FORM'!$B$1:$P$48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5" i="8" l="1"/>
  <c r="R75" i="8" s="1"/>
  <c r="E9" i="8"/>
  <c r="N23" i="8" s="1"/>
  <c r="M80" i="8" s="1"/>
  <c r="P23" i="8" l="1"/>
  <c r="J18" i="1"/>
  <c r="M13" i="1"/>
  <c r="E19" i="4"/>
  <c r="E20" i="4"/>
  <c r="E10" i="4"/>
  <c r="I7" i="1" s="1"/>
  <c r="E16" i="4"/>
  <c r="E15" i="4"/>
  <c r="J16" i="1"/>
  <c r="J14" i="1"/>
  <c r="K14" i="1" s="1"/>
  <c r="J13" i="1"/>
  <c r="K13" i="1" s="1"/>
  <c r="J12" i="1"/>
  <c r="K12" i="1" s="1"/>
  <c r="J11" i="1"/>
  <c r="K11" i="1" s="1"/>
  <c r="J10" i="1"/>
  <c r="K10" i="1" s="1"/>
  <c r="J9" i="1"/>
  <c r="K9" i="1" s="1"/>
  <c r="J8" i="1"/>
  <c r="I8" i="1"/>
  <c r="I15" i="1" s="1"/>
  <c r="C6" i="4"/>
  <c r="E6" i="4" s="1"/>
  <c r="K7" i="1"/>
  <c r="J7" i="1"/>
  <c r="E4" i="4"/>
  <c r="M8" i="1" s="1"/>
  <c r="C7" i="4" l="1"/>
  <c r="E7" i="4" s="1"/>
  <c r="H18" i="1"/>
  <c r="M18" i="1" s="1"/>
  <c r="K8" i="1"/>
  <c r="K15" i="1" s="1"/>
  <c r="O8" i="1"/>
  <c r="B1" i="1" l="1"/>
  <c r="C1" i="8"/>
  <c r="O1" i="1"/>
  <c r="I1" i="8"/>
  <c r="G37" i="8" l="1"/>
  <c r="I16" i="1"/>
  <c r="K16" i="1" l="1"/>
  <c r="K17" i="1" s="1"/>
  <c r="I17" i="1"/>
  <c r="E5" i="8" s="1"/>
  <c r="G5" i="8" l="1"/>
  <c r="N20" i="8"/>
  <c r="T20" i="8" s="1"/>
  <c r="G38" i="8"/>
  <c r="G30" i="8"/>
  <c r="E29" i="8"/>
  <c r="P86" i="8"/>
  <c r="P88" i="8" s="1"/>
  <c r="N86" i="8"/>
  <c r="R90" i="8" s="1"/>
  <c r="M86" i="8"/>
  <c r="N90" i="8" s="1"/>
  <c r="G28" i="8"/>
  <c r="G27" i="8"/>
  <c r="P25" i="8"/>
  <c r="R77" i="8"/>
  <c r="M25" i="8"/>
  <c r="N77" i="8" s="1"/>
  <c r="S74" i="8" l="1"/>
  <c r="Y22" i="8"/>
  <c r="E22" i="8" s="1"/>
  <c r="Y21" i="8"/>
  <c r="E21" i="8" s="1"/>
  <c r="O90" i="8"/>
  <c r="P84" i="8"/>
  <c r="M92" i="8" s="1"/>
  <c r="M84" i="8"/>
  <c r="E31" i="8"/>
  <c r="N88" i="8"/>
  <c r="R88" i="8"/>
  <c r="S90" i="8"/>
  <c r="N84" i="8"/>
  <c r="M93" i="8" s="1"/>
  <c r="G29" i="8"/>
  <c r="P75" i="8"/>
  <c r="N75" i="8" s="1"/>
  <c r="O77" i="8"/>
  <c r="G18" i="8"/>
  <c r="G17" i="8"/>
  <c r="G14" i="8"/>
  <c r="G13" i="8"/>
  <c r="G10" i="8"/>
  <c r="G8" i="8"/>
  <c r="G7" i="8"/>
  <c r="R80" i="8" l="1"/>
  <c r="N80" i="8"/>
  <c r="O80" i="8"/>
  <c r="M23" i="8"/>
  <c r="S93" i="8"/>
  <c r="R93" i="8"/>
  <c r="O93" i="8"/>
  <c r="N93" i="8"/>
  <c r="M79" i="8"/>
  <c r="E11" i="8"/>
  <c r="G9" i="8"/>
  <c r="G34" i="8" l="1"/>
  <c r="M15" i="1" l="1"/>
  <c r="H15" i="1" l="1"/>
  <c r="J15" i="1" s="1"/>
  <c r="M17" i="1" l="1"/>
  <c r="H17" i="1"/>
  <c r="J17" i="1" s="1"/>
  <c r="X30" i="1"/>
  <c r="W30" i="1" l="1"/>
  <c r="M78" i="8"/>
  <c r="S77" i="8"/>
  <c r="N78" i="8" l="1"/>
  <c r="N79" i="8" s="1"/>
  <c r="R78" i="8"/>
  <c r="R79" i="8" s="1"/>
  <c r="O78" i="8"/>
  <c r="O79" i="8" s="1"/>
  <c r="S80" i="8"/>
  <c r="S78" i="8"/>
  <c r="X32" i="1"/>
  <c r="M91" i="8"/>
  <c r="N91" i="8" s="1"/>
  <c r="P79" i="8" l="1"/>
  <c r="S79" i="8"/>
  <c r="Q79" i="8" s="1"/>
  <c r="S91" i="8"/>
  <c r="S92" i="8" s="1"/>
  <c r="R91" i="8"/>
  <c r="R92" i="8" s="1"/>
  <c r="O91" i="8"/>
  <c r="O92" i="8" s="1"/>
  <c r="N92" i="8"/>
  <c r="I18" i="1"/>
  <c r="K18" i="1" s="1"/>
  <c r="P92" i="8" l="1"/>
  <c r="Q92" i="8"/>
  <c r="I19" i="1" l="1"/>
  <c r="E25" i="8" s="1"/>
  <c r="G25" i="8" s="1"/>
  <c r="K19" i="1"/>
  <c r="G33" i="8"/>
  <c r="H19" i="1" l="1"/>
  <c r="J19" i="1" s="1"/>
  <c r="M19" i="1"/>
  <c r="G36" i="8"/>
  <c r="O97" i="8"/>
  <c r="O96" i="8"/>
  <c r="P96" i="8" s="1"/>
  <c r="R96" i="8" l="1"/>
  <c r="E42" i="8" l="1"/>
  <c r="E43" i="8"/>
  <c r="G43" i="8" s="1"/>
  <c r="G16" i="8"/>
  <c r="I33" i="8"/>
  <c r="O16" i="8"/>
  <c r="O17" i="8"/>
  <c r="P16" i="8" l="1"/>
  <c r="R16" i="8"/>
  <c r="E23" i="8" l="1"/>
  <c r="E24" i="8"/>
  <c r="G24" i="8" s="1"/>
  <c r="I13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Tony Opsomer</author>
  </authors>
  <commentList>
    <comment ref="E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Standard: 37 inch
Movable between: 34-46 inch</t>
        </r>
      </text>
    </comment>
    <comment ref="E10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Standard: 37 inch
Movable between: 34-46 inch</t>
        </r>
      </text>
    </comment>
    <comment ref="E1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Standard: 95 inch
Movable between: 75-107 inch</t>
        </r>
      </text>
    </comment>
    <comment ref="E14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Standard: 123 inch
Movable between: 108-142 inch</t>
        </r>
      </text>
    </comment>
    <comment ref="E18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Total trip time cannot exceed  05:27 in case of FULL long-range fuel tanks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8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Fuel quantity based on maximum fuel consumption (8.8 US GAL/hr) in cruise performance chart</t>
        </r>
      </text>
    </comment>
  </commentList>
</comments>
</file>

<file path=xl/sharedStrings.xml><?xml version="1.0" encoding="utf-8"?>
<sst xmlns="http://schemas.openxmlformats.org/spreadsheetml/2006/main" count="278" uniqueCount="170">
  <si>
    <t>Baggage area 2</t>
  </si>
  <si>
    <t>Baggage area 1</t>
  </si>
  <si>
    <t xml:space="preserve">Weight </t>
  </si>
  <si>
    <t>Moment</t>
  </si>
  <si>
    <t>[kg]</t>
  </si>
  <si>
    <t>Empty Weight</t>
  </si>
  <si>
    <t>Arm</t>
  </si>
  <si>
    <t xml:space="preserve">Moment </t>
  </si>
  <si>
    <t>LONG-RANGE FUEL TANKS</t>
  </si>
  <si>
    <t>W&amp;B DATA</t>
  </si>
  <si>
    <t>W&amp;B Center of Gravity limits graph</t>
  </si>
  <si>
    <t>Max Useful load</t>
  </si>
  <si>
    <t>Front passenger</t>
  </si>
  <si>
    <t>Pilot</t>
  </si>
  <si>
    <t>[l]</t>
  </si>
  <si>
    <t>Fuel quantity</t>
  </si>
  <si>
    <t xml:space="preserve">Usable fuel </t>
  </si>
  <si>
    <t>Basic empty weight (includes engine oil and unusable fuel)</t>
  </si>
  <si>
    <t xml:space="preserve"> </t>
  </si>
  <si>
    <t>inch</t>
  </si>
  <si>
    <t>RAMP WEIGHT AND MOMENT</t>
  </si>
  <si>
    <t>Fuel allowance for engine start, taxi and runup</t>
  </si>
  <si>
    <t>mean arm:</t>
  </si>
  <si>
    <t>LANDING WEIGHT AND MOMENT</t>
  </si>
  <si>
    <t>Total trip time</t>
  </si>
  <si>
    <t>hh:mm</t>
  </si>
  <si>
    <t>Form validity checker</t>
  </si>
  <si>
    <t>Don't forget: always do a manual check on your data!!</t>
  </si>
  <si>
    <t>MSL Altitude [ft]</t>
  </si>
  <si>
    <t>Runway</t>
  </si>
  <si>
    <t>type</t>
  </si>
  <si>
    <t>Wind</t>
  </si>
  <si>
    <t>Velocity [kts]</t>
  </si>
  <si>
    <t>Direction [°]</t>
  </si>
  <si>
    <t>Pressure altitude [ft]</t>
  </si>
  <si>
    <t>Density altitude [ft]</t>
  </si>
  <si>
    <t>ground roll [m]</t>
  </si>
  <si>
    <t>total to clear 50ft [m]</t>
  </si>
  <si>
    <t>landing IAS speed [kts]</t>
  </si>
  <si>
    <t>ICAO airport name</t>
  </si>
  <si>
    <t>OAT Temperature [°C]</t>
  </si>
  <si>
    <t>QNH [hPa or mbar]</t>
  </si>
  <si>
    <t>lift off IAS speed [kts]</t>
  </si>
  <si>
    <t>GRASS</t>
  </si>
  <si>
    <t>PAVED</t>
  </si>
  <si>
    <t>GRND ROLL</t>
  </si>
  <si>
    <t>0°C</t>
  </si>
  <si>
    <t>10°C</t>
  </si>
  <si>
    <t>20°C</t>
  </si>
  <si>
    <t>30°C</t>
  </si>
  <si>
    <t>40°C</t>
  </si>
  <si>
    <t>TOTAL TO…</t>
  </si>
  <si>
    <t>column index</t>
  </si>
  <si>
    <t>DEFINE TYPE</t>
  </si>
  <si>
    <t>Calculations</t>
  </si>
  <si>
    <t>Runway type dropdown list items</t>
  </si>
  <si>
    <t>change in takeoff distance</t>
  </si>
  <si>
    <t>total to clear 50ft OBS [m]</t>
  </si>
  <si>
    <t>Safety margin for takeoff distance</t>
  </si>
  <si>
    <t>LANDING</t>
  </si>
  <si>
    <t>Landing wind calculations</t>
  </si>
  <si>
    <t>change in landing distance</t>
  </si>
  <si>
    <t>Takeoff wind calculations</t>
  </si>
  <si>
    <t>KTAS</t>
  </si>
  <si>
    <t>GPH</t>
  </si>
  <si>
    <t>%BHP</t>
  </si>
  <si>
    <t>look between PA [ft]</t>
  </si>
  <si>
    <t>headwind component [kts]</t>
  </si>
  <si>
    <t>crosswind component [kts]</t>
  </si>
  <si>
    <t>look between temperatures [°C]</t>
  </si>
  <si>
    <t>needed value [°C]</t>
  </si>
  <si>
    <t>needed value [ft]</t>
  </si>
  <si>
    <t>conversion minutes  to hh:mm notation</t>
  </si>
  <si>
    <t>total minutes</t>
  </si>
  <si>
    <t>hh</t>
  </si>
  <si>
    <t>mm</t>
  </si>
  <si>
    <t>CROSSWIND</t>
  </si>
  <si>
    <t xml:space="preserve">This document is provided for secondary flightplanning and navigation only. It is the user/pilot's sole responsibility to verify the correctness of all  information provided by this sheet. </t>
  </si>
  <si>
    <t>Found &amp; interpolated landing values (distances are in FEET)</t>
  </si>
  <si>
    <t>Weight and balance form</t>
  </si>
  <si>
    <t>Performance form</t>
  </si>
  <si>
    <t>TAKE-OFF</t>
  </si>
  <si>
    <t>TAKE-OFF WEIGHT AND MOMENT</t>
  </si>
  <si>
    <t>US Gal</t>
  </si>
  <si>
    <t>l</t>
  </si>
  <si>
    <t>Take-off weight [kg]</t>
  </si>
  <si>
    <t>Landing weight [kg]</t>
  </si>
  <si>
    <t>Safety margin for landing distance</t>
  </si>
  <si>
    <t xml:space="preserve">Runway </t>
  </si>
  <si>
    <t>LDA [m]</t>
  </si>
  <si>
    <t>TORA [m]</t>
  </si>
  <si>
    <t>C172</t>
  </si>
  <si>
    <t>DATA C172*</t>
  </si>
  <si>
    <t>Takeoff distance</t>
  </si>
  <si>
    <t>Weight (lbs)</t>
  </si>
  <si>
    <t>Takeoff speed (KIAS)</t>
  </si>
  <si>
    <t>Pressure altitude (ft)</t>
  </si>
  <si>
    <t>Lift off</t>
  </si>
  <si>
    <t>at 50ft</t>
  </si>
  <si>
    <t>Grnd roll</t>
  </si>
  <si>
    <t>tot to clear 50ft obs</t>
  </si>
  <si>
    <t>Remarks</t>
  </si>
  <si>
    <t>Prior to takeoff from fields above 3000 ft elevation, the mixture should be leaned to give maximum RPM in a full throttle static runup</t>
  </si>
  <si>
    <t>Decrease distances by 10% for each 9kts headwind. For operation with tailwinds up to 10kts, increase distances by 10% for each 2 knots</t>
  </si>
  <si>
    <t>Where distance value has been deleted, climb performance after lift-off is less than 150fpm at takeoff speed</t>
  </si>
  <si>
    <t>For operation on a dry, grass runway, increase distances by 15% of the "ground roll" figure</t>
  </si>
  <si>
    <t>Landing distance</t>
  </si>
  <si>
    <t>speed at 50 ft (KIAS)</t>
  </si>
  <si>
    <t>Decrease distances 10% for each 9kts headwind. For operations  with tailwind up to 10kts, increase distances by 10% for each 2 kts</t>
  </si>
  <si>
    <t>For operation on a dry, grass runway, increase distances by 45% of the "ground roll" figure</t>
  </si>
  <si>
    <t>Fuel for engine start, taxi and takeoff allowance</t>
  </si>
  <si>
    <t>weight [lbs]</t>
  </si>
  <si>
    <t>arm [inches]</t>
  </si>
  <si>
    <t>NORMAL CATEGORY</t>
  </si>
  <si>
    <t>UTILITY CATEGORY</t>
  </si>
  <si>
    <t>lbs</t>
  </si>
  <si>
    <t>inches</t>
  </si>
  <si>
    <t>inch.lbs</t>
  </si>
  <si>
    <t>normal category</t>
  </si>
  <si>
    <t>utility category</t>
  </si>
  <si>
    <t>Unusable fuel</t>
  </si>
  <si>
    <t>DATA FOUND ON PAGE 5-21</t>
  </si>
  <si>
    <t>Max. Fuel flow</t>
  </si>
  <si>
    <t>US Gal/hr</t>
  </si>
  <si>
    <t>l/u</t>
  </si>
  <si>
    <t>Max usable fuel quantity</t>
  </si>
  <si>
    <t xml:space="preserve">Cruise performance </t>
  </si>
  <si>
    <t>DATA FOUND ON PAGE 5-16</t>
  </si>
  <si>
    <t>pressure altitude (ft)</t>
  </si>
  <si>
    <t>RPM</t>
  </si>
  <si>
    <t>20°C below standard temp</t>
  </si>
  <si>
    <t>standard temperature</t>
  </si>
  <si>
    <t>20°C above standard temp</t>
  </si>
  <si>
    <t>Rear passenger 1</t>
  </si>
  <si>
    <t>Rear passenger 2</t>
  </si>
  <si>
    <t>Max. endurance:</t>
  </si>
  <si>
    <t>uur</t>
  </si>
  <si>
    <t>[in]</t>
  </si>
  <si>
    <t>[lbs.in]</t>
  </si>
  <si>
    <t>kg</t>
  </si>
  <si>
    <t>area1</t>
  </si>
  <si>
    <t>area2</t>
  </si>
  <si>
    <t>Max weight baggage areas</t>
  </si>
  <si>
    <t>IAS speed at 50 ft [kts]</t>
  </si>
  <si>
    <t>Landing (flaps 40°, power off, maximum braking)</t>
  </si>
  <si>
    <t>Takeoff calculations</t>
  </si>
  <si>
    <t>Landing calculations</t>
  </si>
  <si>
    <t>Weight:</t>
  </si>
  <si>
    <t>-&gt; taking this (higher) weight from takeoff data:</t>
  </si>
  <si>
    <t>Found &amp; interpolated takeoff values (distances are in FEET) for safety weight of:</t>
  </si>
  <si>
    <t>corresponding speeds</t>
  </si>
  <si>
    <t>at 50 ft</t>
  </si>
  <si>
    <t>lift off</t>
  </si>
  <si>
    <t>remarks? tony.opsomer@gmail.com</t>
  </si>
  <si>
    <t>DATA OO-VCW</t>
  </si>
  <si>
    <t>* ALL DATA IS BASED ON THE CESSNA SKYHAWK MODEL 172R</t>
  </si>
  <si>
    <t>(flaps 30°, power off, maximum braking, paved, level, dry runway, zero wind, speed at 50ft 62 KIAS) Flapless landing: increase approach speed with 7KIAS @ +35% distance</t>
  </si>
  <si>
    <t>-</t>
  </si>
  <si>
    <t>(recommended  lean mixture, 2450 lbs)</t>
  </si>
  <si>
    <t>DATA FOUND ON PAGE 5-18</t>
  </si>
  <si>
    <t>(flaps 10°, full throttle prior to brake release, paved, level, dry runway, zero wind)</t>
  </si>
  <si>
    <t>DATA FOUND ON PAGE 5-14</t>
  </si>
  <si>
    <t>Performance form C172 OO-VCW</t>
  </si>
  <si>
    <t>Weight and Balance form C172 OO-VCW</t>
  </si>
  <si>
    <t>Take-off (flaps 10°, full throttle prior to brake release)</t>
  </si>
  <si>
    <t>BASED ON:</t>
  </si>
  <si>
    <t>Vliegclub Grimbergen - BE.DTO.113</t>
  </si>
  <si>
    <t>BE.DTO.113</t>
  </si>
  <si>
    <t>version 2021-07-25</t>
  </si>
  <si>
    <t xml:space="preserve">download the latest version from https://goahead.classy.be/weight-balance/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</si>
</sst>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h:mm;@"/>
    <numFmt numFmtId="166" formatCode="00"/>
    <numFmt numFmtId="167" formatCode="0.0"/>
    <numFmt numFmtId="168" formatCode="000&quot; °&quot;"/>
  </numFmts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sz val="11"/>
      <color theme="0" tint="-0.34998626667073579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0.59999389629810485"/>
      <name val="Calibri"/>
      <family val="2"/>
      <scheme val="minor"/>
    </font>
    <font>
      <sz val="11"/>
      <color rgb="FFFFFF00"/>
      <name val="Calibri"/>
      <family val="2"/>
      <scheme val="minor"/>
    </font>
    <font>
      <sz val="11"/>
      <color theme="5" tint="0.59999389629810485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0" tint="-0.249977111117893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thick">
        <color indexed="64"/>
      </top>
      <bottom style="thin">
        <color auto="1"/>
      </bottom>
      <diagonal/>
    </border>
    <border>
      <left/>
      <right style="thin">
        <color auto="1"/>
      </right>
      <top style="thick">
        <color indexed="64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indexed="64"/>
      </left>
      <right/>
      <top style="thin">
        <color auto="1"/>
      </top>
      <bottom style="thick">
        <color auto="1"/>
      </bottom>
      <diagonal/>
    </border>
    <border>
      <left/>
      <right style="medium">
        <color indexed="64"/>
      </right>
      <top style="thin">
        <color indexed="64"/>
      </top>
      <bottom style="thick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6" fillId="0" borderId="0" applyNumberFormat="0" applyFill="0" applyBorder="0" applyAlignment="0" applyProtection="0"/>
  </cellStyleXfs>
  <cellXfs count="278">
    <xf numFmtId="0" fontId="0" fillId="0" borderId="0" xfId="0"/>
    <xf numFmtId="2" fontId="0" fillId="0" borderId="0" xfId="0" applyNumberFormat="1"/>
    <xf numFmtId="0" fontId="3" fillId="0" borderId="0" xfId="0" applyFont="1"/>
    <xf numFmtId="0" fontId="1" fillId="0" borderId="0" xfId="0" applyFont="1" applyAlignment="1"/>
    <xf numFmtId="0" fontId="1" fillId="0" borderId="0" xfId="0" applyFont="1"/>
    <xf numFmtId="0" fontId="0" fillId="0" borderId="0" xfId="0" applyAlignment="1">
      <alignment horizontal="right"/>
    </xf>
    <xf numFmtId="2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left"/>
    </xf>
    <xf numFmtId="0" fontId="0" fillId="0" borderId="0" xfId="0" applyFont="1" applyAlignment="1"/>
    <xf numFmtId="0" fontId="0" fillId="0" borderId="0" xfId="0" applyAlignment="1"/>
    <xf numFmtId="0" fontId="0" fillId="0" borderId="0" xfId="0" applyFill="1"/>
    <xf numFmtId="0" fontId="1" fillId="0" borderId="1" xfId="0" applyFont="1" applyBorder="1"/>
    <xf numFmtId="0" fontId="0" fillId="0" borderId="1" xfId="0" applyBorder="1"/>
    <xf numFmtId="0" fontId="1" fillId="0" borderId="2" xfId="0" applyFont="1" applyBorder="1"/>
    <xf numFmtId="0" fontId="0" fillId="0" borderId="2" xfId="0" applyBorder="1"/>
    <xf numFmtId="0" fontId="1" fillId="2" borderId="2" xfId="0" applyFont="1" applyFill="1" applyBorder="1"/>
    <xf numFmtId="0" fontId="0" fillId="2" borderId="2" xfId="0" applyFill="1" applyBorder="1"/>
    <xf numFmtId="0" fontId="1" fillId="0" borderId="3" xfId="0" applyFont="1" applyBorder="1" applyAlignment="1">
      <alignment horizontal="right"/>
    </xf>
    <xf numFmtId="0" fontId="1" fillId="0" borderId="4" xfId="0" applyFont="1" applyBorder="1" applyAlignment="1">
      <alignment horizontal="right"/>
    </xf>
    <xf numFmtId="0" fontId="1" fillId="0" borderId="5" xfId="0" applyFont="1" applyBorder="1" applyAlignment="1">
      <alignment horizontal="right"/>
    </xf>
    <xf numFmtId="0" fontId="0" fillId="3" borderId="6" xfId="0" applyFill="1" applyBorder="1"/>
    <xf numFmtId="0" fontId="0" fillId="3" borderId="8" xfId="0" applyFill="1" applyBorder="1"/>
    <xf numFmtId="2" fontId="0" fillId="4" borderId="7" xfId="0" applyNumberFormat="1" applyFill="1" applyBorder="1" applyAlignment="1">
      <alignment horizontal="right"/>
    </xf>
    <xf numFmtId="0" fontId="2" fillId="0" borderId="0" xfId="0" applyFont="1" applyAlignment="1">
      <alignment horizontal="left"/>
    </xf>
    <xf numFmtId="0" fontId="7" fillId="0" borderId="0" xfId="0" applyFont="1"/>
    <xf numFmtId="0" fontId="1" fillId="0" borderId="0" xfId="0" applyFont="1" applyFill="1" applyBorder="1"/>
    <xf numFmtId="0" fontId="0" fillId="0" borderId="0" xfId="0" applyFill="1" applyBorder="1"/>
    <xf numFmtId="0" fontId="1" fillId="0" borderId="0" xfId="0" applyFont="1" applyFill="1"/>
    <xf numFmtId="2" fontId="0" fillId="4" borderId="9" xfId="0" applyNumberFormat="1" applyFill="1" applyBorder="1" applyAlignment="1">
      <alignment horizontal="right"/>
    </xf>
    <xf numFmtId="2" fontId="0" fillId="4" borderId="9" xfId="0" applyNumberFormat="1" applyFill="1" applyBorder="1"/>
    <xf numFmtId="2" fontId="0" fillId="4" borderId="10" xfId="0" applyNumberFormat="1" applyFill="1" applyBorder="1" applyAlignment="1">
      <alignment horizontal="right"/>
    </xf>
    <xf numFmtId="2" fontId="0" fillId="4" borderId="10" xfId="0" applyNumberFormat="1" applyFill="1" applyBorder="1"/>
    <xf numFmtId="1" fontId="0" fillId="0" borderId="2" xfId="0" applyNumberFormat="1" applyFill="1" applyBorder="1" applyAlignment="1" applyProtection="1">
      <alignment horizontal="right"/>
    </xf>
    <xf numFmtId="2" fontId="1" fillId="2" borderId="9" xfId="0" applyNumberFormat="1" applyFont="1" applyFill="1" applyBorder="1" applyAlignment="1">
      <alignment horizontal="right"/>
    </xf>
    <xf numFmtId="2" fontId="1" fillId="2" borderId="10" xfId="0" applyNumberFormat="1" applyFont="1" applyFill="1" applyBorder="1" applyAlignment="1">
      <alignment horizontal="right"/>
    </xf>
    <xf numFmtId="2" fontId="0" fillId="4" borderId="8" xfId="0" applyNumberFormat="1" applyFont="1" applyFill="1" applyBorder="1" applyAlignment="1">
      <alignment horizontal="right"/>
    </xf>
    <xf numFmtId="2" fontId="0" fillId="4" borderId="9" xfId="0" applyNumberFormat="1" applyFont="1" applyFill="1" applyBorder="1" applyAlignment="1">
      <alignment horizontal="right"/>
    </xf>
    <xf numFmtId="2" fontId="0" fillId="4" borderId="10" xfId="0" applyNumberFormat="1" applyFont="1" applyFill="1" applyBorder="1" applyAlignment="1">
      <alignment horizontal="right"/>
    </xf>
    <xf numFmtId="0" fontId="1" fillId="5" borderId="2" xfId="0" applyFont="1" applyFill="1" applyBorder="1"/>
    <xf numFmtId="0" fontId="0" fillId="5" borderId="2" xfId="0" applyFill="1" applyBorder="1"/>
    <xf numFmtId="2" fontId="1" fillId="5" borderId="9" xfId="0" applyNumberFormat="1" applyFont="1" applyFill="1" applyBorder="1" applyAlignment="1">
      <alignment horizontal="right"/>
    </xf>
    <xf numFmtId="2" fontId="1" fillId="5" borderId="10" xfId="0" applyNumberFormat="1" applyFont="1" applyFill="1" applyBorder="1" applyAlignment="1">
      <alignment horizontal="right"/>
    </xf>
    <xf numFmtId="0" fontId="0" fillId="0" borderId="0" xfId="0" applyFill="1" applyProtection="1"/>
    <xf numFmtId="0" fontId="0" fillId="0" borderId="0" xfId="0" applyProtection="1">
      <protection locked="0"/>
    </xf>
    <xf numFmtId="0" fontId="2" fillId="0" borderId="0" xfId="0" applyFont="1" applyAlignment="1">
      <alignment horizontal="left"/>
    </xf>
    <xf numFmtId="0" fontId="0" fillId="0" borderId="0" xfId="0" applyFill="1" applyBorder="1" applyAlignment="1">
      <alignment horizontal="right"/>
    </xf>
    <xf numFmtId="2" fontId="0" fillId="0" borderId="0" xfId="0" applyNumberFormat="1" applyFill="1" applyBorder="1" applyProtection="1"/>
    <xf numFmtId="165" fontId="0" fillId="0" borderId="0" xfId="0" applyNumberFormat="1" applyFill="1" applyBorder="1" applyProtection="1"/>
    <xf numFmtId="0" fontId="2" fillId="0" borderId="0" xfId="0" applyFont="1" applyAlignment="1"/>
    <xf numFmtId="0" fontId="5" fillId="4" borderId="17" xfId="0" applyFont="1" applyFill="1" applyBorder="1"/>
    <xf numFmtId="0" fontId="0" fillId="6" borderId="15" xfId="0" applyFill="1" applyBorder="1"/>
    <xf numFmtId="0" fontId="0" fillId="6" borderId="0" xfId="0" applyFill="1" applyBorder="1"/>
    <xf numFmtId="0" fontId="0" fillId="6" borderId="16" xfId="0" applyFill="1" applyBorder="1"/>
    <xf numFmtId="0" fontId="1" fillId="0" borderId="1" xfId="0" applyFont="1" applyFill="1" applyBorder="1"/>
    <xf numFmtId="0" fontId="0" fillId="0" borderId="1" xfId="0" applyFill="1" applyBorder="1"/>
    <xf numFmtId="0" fontId="1" fillId="0" borderId="2" xfId="0" applyFont="1" applyFill="1" applyBorder="1"/>
    <xf numFmtId="0" fontId="0" fillId="0" borderId="2" xfId="0" applyFill="1" applyBorder="1"/>
    <xf numFmtId="0" fontId="0" fillId="3" borderId="0" xfId="0" applyFill="1"/>
    <xf numFmtId="0" fontId="0" fillId="0" borderId="0" xfId="0" applyBorder="1"/>
    <xf numFmtId="0" fontId="0" fillId="0" borderId="16" xfId="0" applyBorder="1"/>
    <xf numFmtId="1" fontId="0" fillId="0" borderId="0" xfId="0" applyNumberFormat="1"/>
    <xf numFmtId="0" fontId="2" fillId="0" borderId="0" xfId="0" applyFont="1"/>
    <xf numFmtId="0" fontId="0" fillId="0" borderId="0" xfId="0" applyProtection="1"/>
    <xf numFmtId="0" fontId="0" fillId="0" borderId="0" xfId="0" applyFill="1" applyBorder="1" applyProtection="1"/>
    <xf numFmtId="0" fontId="0" fillId="3" borderId="0" xfId="0" applyFill="1" applyProtection="1"/>
    <xf numFmtId="0" fontId="4" fillId="0" borderId="0" xfId="0" applyFont="1" applyProtection="1"/>
    <xf numFmtId="0" fontId="0" fillId="6" borderId="15" xfId="0" applyFill="1" applyBorder="1" applyProtection="1"/>
    <xf numFmtId="0" fontId="0" fillId="6" borderId="0" xfId="0" applyFill="1" applyBorder="1" applyProtection="1"/>
    <xf numFmtId="0" fontId="0" fillId="6" borderId="16" xfId="0" applyFill="1" applyBorder="1" applyProtection="1"/>
    <xf numFmtId="0" fontId="4" fillId="0" borderId="0" xfId="0" applyFont="1" applyAlignment="1" applyProtection="1"/>
    <xf numFmtId="0" fontId="5" fillId="6" borderId="16" xfId="0" applyFont="1" applyFill="1" applyBorder="1" applyAlignment="1" applyProtection="1">
      <alignment vertical="center" wrapText="1"/>
    </xf>
    <xf numFmtId="0" fontId="5" fillId="0" borderId="0" xfId="0" applyFont="1" applyProtection="1"/>
    <xf numFmtId="1" fontId="0" fillId="4" borderId="8" xfId="0" applyNumberFormat="1" applyFill="1" applyBorder="1" applyAlignment="1" applyProtection="1">
      <alignment horizontal="right"/>
    </xf>
    <xf numFmtId="0" fontId="1" fillId="0" borderId="0" xfId="0" applyFont="1" applyFill="1" applyBorder="1" applyProtection="1"/>
    <xf numFmtId="0" fontId="1" fillId="0" borderId="0" xfId="0" applyFont="1" applyProtection="1"/>
    <xf numFmtId="0" fontId="1" fillId="6" borderId="15" xfId="0" applyFont="1" applyFill="1" applyBorder="1" applyAlignment="1" applyProtection="1">
      <alignment horizontal="center"/>
    </xf>
    <xf numFmtId="0" fontId="1" fillId="6" borderId="0" xfId="0" applyFont="1" applyFill="1" applyBorder="1" applyAlignment="1" applyProtection="1">
      <alignment horizontal="center"/>
    </xf>
    <xf numFmtId="0" fontId="1" fillId="6" borderId="16" xfId="0" applyFont="1" applyFill="1" applyBorder="1" applyAlignment="1" applyProtection="1">
      <alignment horizontal="center"/>
    </xf>
    <xf numFmtId="0" fontId="0" fillId="0" borderId="0" xfId="0" applyAlignment="1" applyProtection="1">
      <alignment horizontal="left"/>
    </xf>
    <xf numFmtId="1" fontId="0" fillId="0" borderId="0" xfId="0" applyNumberFormat="1" applyProtection="1"/>
    <xf numFmtId="1" fontId="0" fillId="0" borderId="0" xfId="0" applyNumberFormat="1" applyFill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0" fillId="0" borderId="0" xfId="0" applyAlignment="1" applyProtection="1">
      <alignment horizontal="right"/>
    </xf>
    <xf numFmtId="0" fontId="11" fillId="3" borderId="0" xfId="0" applyFont="1" applyFill="1" applyProtection="1"/>
    <xf numFmtId="0" fontId="0" fillId="0" borderId="0" xfId="0" applyFill="1" applyAlignment="1" applyProtection="1">
      <alignment horizontal="right"/>
    </xf>
    <xf numFmtId="1" fontId="11" fillId="0" borderId="0" xfId="0" applyNumberFormat="1" applyFont="1" applyProtection="1"/>
    <xf numFmtId="0" fontId="11" fillId="0" borderId="0" xfId="0" applyFont="1" applyProtection="1"/>
    <xf numFmtId="0" fontId="12" fillId="0" borderId="30" xfId="0" applyFont="1" applyBorder="1" applyProtection="1"/>
    <xf numFmtId="0" fontId="12" fillId="0" borderId="26" xfId="0" applyFont="1" applyBorder="1" applyProtection="1"/>
    <xf numFmtId="0" fontId="0" fillId="4" borderId="18" xfId="0" applyFill="1" applyBorder="1" applyProtection="1"/>
    <xf numFmtId="0" fontId="0" fillId="4" borderId="17" xfId="0" applyFill="1" applyBorder="1" applyProtection="1"/>
    <xf numFmtId="0" fontId="4" fillId="0" borderId="0" xfId="0" applyFont="1" applyFill="1" applyProtection="1"/>
    <xf numFmtId="167" fontId="4" fillId="0" borderId="0" xfId="0" applyNumberFormat="1" applyFont="1" applyFill="1" applyProtection="1"/>
    <xf numFmtId="2" fontId="4" fillId="0" borderId="0" xfId="0" applyNumberFormat="1" applyFont="1" applyProtection="1"/>
    <xf numFmtId="10" fontId="0" fillId="0" borderId="0" xfId="0" applyNumberFormat="1" applyProtection="1"/>
    <xf numFmtId="0" fontId="0" fillId="0" borderId="32" xfId="0" applyFill="1" applyBorder="1"/>
    <xf numFmtId="0" fontId="1" fillId="0" borderId="35" xfId="0" applyFont="1" applyFill="1" applyBorder="1"/>
    <xf numFmtId="0" fontId="0" fillId="0" borderId="35" xfId="0" applyFill="1" applyBorder="1"/>
    <xf numFmtId="1" fontId="0" fillId="4" borderId="36" xfId="0" applyNumberFormat="1" applyFill="1" applyBorder="1" applyAlignment="1" applyProtection="1">
      <alignment horizontal="right"/>
    </xf>
    <xf numFmtId="0" fontId="1" fillId="0" borderId="32" xfId="0" applyFont="1" applyFill="1" applyBorder="1"/>
    <xf numFmtId="0" fontId="8" fillId="6" borderId="15" xfId="0" applyFont="1" applyFill="1" applyBorder="1" applyAlignment="1" applyProtection="1">
      <alignment horizontal="center"/>
    </xf>
    <xf numFmtId="1" fontId="0" fillId="0" borderId="8" xfId="0" applyNumberFormat="1" applyFill="1" applyBorder="1" applyAlignment="1" applyProtection="1">
      <alignment horizontal="right"/>
    </xf>
    <xf numFmtId="0" fontId="11" fillId="0" borderId="0" xfId="0" applyFont="1"/>
    <xf numFmtId="0" fontId="7" fillId="0" borderId="0" xfId="0" applyFont="1" applyAlignment="1">
      <alignment horizontal="right"/>
    </xf>
    <xf numFmtId="167" fontId="0" fillId="0" borderId="0" xfId="0" applyNumberFormat="1"/>
    <xf numFmtId="1" fontId="0" fillId="4" borderId="8" xfId="0" applyNumberFormat="1" applyFill="1" applyBorder="1" applyAlignment="1" applyProtection="1">
      <alignment horizontal="right"/>
      <protection locked="0"/>
    </xf>
    <xf numFmtId="0" fontId="0" fillId="0" borderId="0" xfId="0" applyFont="1"/>
    <xf numFmtId="164" fontId="0" fillId="0" borderId="0" xfId="0" applyNumberFormat="1" applyAlignment="1">
      <alignment horizontal="right"/>
    </xf>
    <xf numFmtId="20" fontId="0" fillId="0" borderId="0" xfId="0" applyNumberFormat="1"/>
    <xf numFmtId="166" fontId="0" fillId="0" borderId="0" xfId="0" applyNumberFormat="1"/>
    <xf numFmtId="1" fontId="0" fillId="10" borderId="6" xfId="0" applyNumberFormat="1" applyFill="1" applyBorder="1" applyAlignment="1" applyProtection="1">
      <alignment horizontal="right"/>
      <protection locked="0"/>
    </xf>
    <xf numFmtId="1" fontId="0" fillId="10" borderId="8" xfId="0" applyNumberFormat="1" applyFill="1" applyBorder="1" applyAlignment="1" applyProtection="1">
      <alignment horizontal="right"/>
      <protection locked="0"/>
    </xf>
    <xf numFmtId="166" fontId="0" fillId="10" borderId="8" xfId="0" applyNumberFormat="1" applyFill="1" applyBorder="1" applyAlignment="1" applyProtection="1">
      <alignment horizontal="right"/>
      <protection locked="0"/>
    </xf>
    <xf numFmtId="9" fontId="0" fillId="10" borderId="8" xfId="0" applyNumberFormat="1" applyFill="1" applyBorder="1" applyAlignment="1" applyProtection="1">
      <alignment horizontal="right"/>
      <protection locked="0"/>
    </xf>
    <xf numFmtId="1" fontId="0" fillId="10" borderId="2" xfId="0" applyNumberFormat="1" applyFill="1" applyBorder="1" applyProtection="1">
      <protection locked="0"/>
    </xf>
    <xf numFmtId="165" fontId="0" fillId="10" borderId="0" xfId="0" applyNumberFormat="1" applyFill="1" applyBorder="1" applyProtection="1">
      <protection locked="0"/>
    </xf>
    <xf numFmtId="2" fontId="0" fillId="10" borderId="0" xfId="0" applyNumberFormat="1" applyFill="1" applyBorder="1" applyProtection="1">
      <protection locked="0"/>
    </xf>
    <xf numFmtId="2" fontId="0" fillId="10" borderId="9" xfId="0" applyNumberFormat="1" applyFill="1" applyBorder="1" applyProtection="1">
      <protection locked="0"/>
    </xf>
    <xf numFmtId="2" fontId="0" fillId="10" borderId="8" xfId="0" applyNumberFormat="1" applyFill="1" applyBorder="1" applyProtection="1">
      <protection locked="0"/>
    </xf>
    <xf numFmtId="0" fontId="1" fillId="11" borderId="2" xfId="0" applyFont="1" applyFill="1" applyBorder="1"/>
    <xf numFmtId="0" fontId="0" fillId="11" borderId="2" xfId="0" applyFill="1" applyBorder="1"/>
    <xf numFmtId="2" fontId="1" fillId="11" borderId="9" xfId="0" applyNumberFormat="1" applyFont="1" applyFill="1" applyBorder="1" applyAlignment="1">
      <alignment horizontal="right"/>
    </xf>
    <xf numFmtId="2" fontId="1" fillId="11" borderId="10" xfId="0" applyNumberFormat="1" applyFont="1" applyFill="1" applyBorder="1" applyAlignment="1">
      <alignment horizontal="right"/>
    </xf>
    <xf numFmtId="0" fontId="15" fillId="0" borderId="0" xfId="0" applyFont="1" applyAlignment="1"/>
    <xf numFmtId="1" fontId="7" fillId="6" borderId="17" xfId="0" applyNumberFormat="1" applyFont="1" applyFill="1" applyBorder="1" applyAlignment="1" applyProtection="1">
      <alignment horizontal="right"/>
    </xf>
    <xf numFmtId="0" fontId="0" fillId="6" borderId="1" xfId="0" applyFill="1" applyBorder="1"/>
    <xf numFmtId="168" fontId="0" fillId="0" borderId="0" xfId="0" applyNumberFormat="1"/>
    <xf numFmtId="0" fontId="7" fillId="0" borderId="0" xfId="0" applyFont="1" applyAlignment="1" applyProtection="1">
      <alignment wrapText="1"/>
    </xf>
    <xf numFmtId="0" fontId="1" fillId="0" borderId="16" xfId="0" applyFont="1" applyFill="1" applyBorder="1" applyProtection="1"/>
    <xf numFmtId="0" fontId="17" fillId="0" borderId="0" xfId="0" applyFont="1"/>
    <xf numFmtId="0" fontId="0" fillId="0" borderId="0" xfId="0" applyBorder="1" applyProtection="1"/>
    <xf numFmtId="1" fontId="0" fillId="0" borderId="0" xfId="0" applyNumberFormat="1" applyFill="1" applyBorder="1" applyProtection="1"/>
    <xf numFmtId="0" fontId="0" fillId="9" borderId="0" xfId="0" applyFill="1"/>
    <xf numFmtId="0" fontId="0" fillId="9" borderId="0" xfId="0" applyFill="1" applyBorder="1"/>
    <xf numFmtId="0" fontId="16" fillId="9" borderId="0" xfId="0" applyFont="1" applyFill="1"/>
    <xf numFmtId="0" fontId="4" fillId="9" borderId="0" xfId="0" quotePrefix="1" applyFont="1" applyFill="1" applyBorder="1" applyAlignment="1">
      <alignment horizontal="right"/>
    </xf>
    <xf numFmtId="0" fontId="4" fillId="9" borderId="0" xfId="0" applyFont="1" applyFill="1" applyBorder="1"/>
    <xf numFmtId="0" fontId="4" fillId="9" borderId="0" xfId="0" applyFont="1" applyFill="1" applyBorder="1" applyAlignment="1">
      <alignment horizontal="right"/>
    </xf>
    <xf numFmtId="0" fontId="1" fillId="9" borderId="0" xfId="0" applyFont="1" applyFill="1" applyBorder="1" applyAlignment="1"/>
    <xf numFmtId="0" fontId="1" fillId="6" borderId="15" xfId="0" applyFont="1" applyFill="1" applyBorder="1" applyAlignment="1">
      <alignment horizontal="left"/>
    </xf>
    <xf numFmtId="0" fontId="0" fillId="6" borderId="0" xfId="0" applyFill="1" applyBorder="1" applyAlignment="1">
      <alignment horizontal="left"/>
    </xf>
    <xf numFmtId="0" fontId="0" fillId="6" borderId="16" xfId="0" applyFill="1" applyBorder="1" applyAlignment="1">
      <alignment horizontal="left"/>
    </xf>
    <xf numFmtId="0" fontId="1" fillId="0" borderId="0" xfId="0" applyFont="1" applyBorder="1"/>
    <xf numFmtId="0" fontId="17" fillId="0" borderId="0" xfId="0" applyFont="1" applyBorder="1"/>
    <xf numFmtId="2" fontId="0" fillId="0" borderId="0" xfId="0" applyNumberFormat="1" applyBorder="1"/>
    <xf numFmtId="0" fontId="0" fillId="0" borderId="0" xfId="0" quotePrefix="1" applyBorder="1" applyAlignment="1">
      <alignment horizontal="right"/>
    </xf>
    <xf numFmtId="1" fontId="0" fillId="4" borderId="33" xfId="0" applyNumberFormat="1" applyFill="1" applyBorder="1" applyAlignment="1" applyProtection="1">
      <alignment horizontal="right"/>
    </xf>
    <xf numFmtId="0" fontId="0" fillId="0" borderId="0" xfId="0" quotePrefix="1"/>
    <xf numFmtId="0" fontId="17" fillId="9" borderId="0" xfId="0" applyFont="1" applyFill="1" applyBorder="1"/>
    <xf numFmtId="0" fontId="0" fillId="0" borderId="0" xfId="0" applyBorder="1" applyAlignment="1">
      <alignment horizontal="center"/>
    </xf>
    <xf numFmtId="0" fontId="1" fillId="0" borderId="0" xfId="0" applyFont="1" applyAlignment="1"/>
    <xf numFmtId="0" fontId="1" fillId="0" borderId="12" xfId="0" applyFont="1" applyBorder="1"/>
    <xf numFmtId="0" fontId="0" fillId="0" borderId="13" xfId="0" applyBorder="1"/>
    <xf numFmtId="0" fontId="0" fillId="0" borderId="15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1" fillId="0" borderId="30" xfId="0" applyFont="1" applyBorder="1"/>
    <xf numFmtId="0" fontId="0" fillId="0" borderId="39" xfId="0" applyBorder="1"/>
    <xf numFmtId="0" fontId="19" fillId="0" borderId="0" xfId="0" applyFont="1"/>
    <xf numFmtId="0" fontId="20" fillId="0" borderId="0" xfId="0" applyFont="1"/>
    <xf numFmtId="0" fontId="17" fillId="0" borderId="14" xfId="0" applyFont="1" applyBorder="1" applyAlignment="1">
      <alignment horizontal="right"/>
    </xf>
    <xf numFmtId="0" fontId="19" fillId="0" borderId="5" xfId="0" applyFont="1" applyBorder="1"/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right"/>
    </xf>
    <xf numFmtId="0" fontId="0" fillId="0" borderId="5" xfId="0" applyBorder="1"/>
    <xf numFmtId="2" fontId="0" fillId="0" borderId="0" xfId="0" applyNumberFormat="1" applyFont="1" applyAlignment="1">
      <alignment horizontal="right"/>
    </xf>
    <xf numFmtId="2" fontId="1" fillId="0" borderId="0" xfId="0" applyNumberFormat="1" applyFont="1" applyAlignment="1"/>
    <xf numFmtId="2" fontId="0" fillId="0" borderId="0" xfId="0" applyNumberFormat="1" applyFont="1" applyAlignment="1"/>
    <xf numFmtId="0" fontId="17" fillId="0" borderId="40" xfId="0" applyFont="1" applyBorder="1" applyAlignment="1">
      <alignment horizontal="right"/>
    </xf>
    <xf numFmtId="1" fontId="0" fillId="8" borderId="2" xfId="0" applyNumberFormat="1" applyFill="1" applyBorder="1" applyProtection="1"/>
    <xf numFmtId="0" fontId="1" fillId="0" borderId="0" xfId="0" applyFont="1" applyAlignment="1"/>
    <xf numFmtId="2" fontId="21" fillId="5" borderId="8" xfId="0" applyNumberFormat="1" applyFont="1" applyFill="1" applyBorder="1"/>
    <xf numFmtId="2" fontId="22" fillId="2" borderId="8" xfId="0" applyNumberFormat="1" applyFont="1" applyFill="1" applyBorder="1"/>
    <xf numFmtId="2" fontId="23" fillId="11" borderId="8" xfId="0" applyNumberFormat="1" applyFont="1" applyFill="1" applyBorder="1"/>
    <xf numFmtId="0" fontId="0" fillId="0" borderId="0" xfId="0" applyFont="1" applyAlignment="1">
      <alignment horizontal="right"/>
    </xf>
    <xf numFmtId="0" fontId="13" fillId="0" borderId="0" xfId="0" applyFont="1" applyBorder="1"/>
    <xf numFmtId="1" fontId="4" fillId="0" borderId="0" xfId="0" applyNumberFormat="1" applyFont="1" applyProtection="1"/>
    <xf numFmtId="0" fontId="0" fillId="0" borderId="0" xfId="0" quotePrefix="1" applyProtection="1"/>
    <xf numFmtId="2" fontId="1" fillId="0" borderId="0" xfId="0" applyNumberFormat="1" applyFont="1" applyFill="1" applyBorder="1" applyAlignment="1" applyProtection="1">
      <alignment horizontal="right"/>
    </xf>
    <xf numFmtId="1" fontId="4" fillId="4" borderId="8" xfId="0" applyNumberFormat="1" applyFont="1" applyFill="1" applyBorder="1" applyAlignment="1" applyProtection="1">
      <alignment horizontal="right"/>
    </xf>
    <xf numFmtId="0" fontId="17" fillId="0" borderId="0" xfId="0" applyFont="1" applyBorder="1" applyAlignment="1" applyProtection="1"/>
    <xf numFmtId="0" fontId="17" fillId="0" borderId="0" xfId="0" applyFont="1" applyBorder="1" applyProtection="1"/>
    <xf numFmtId="0" fontId="11" fillId="0" borderId="0" xfId="0" applyFont="1" applyBorder="1"/>
    <xf numFmtId="0" fontId="14" fillId="0" borderId="0" xfId="0" applyFont="1" applyBorder="1"/>
    <xf numFmtId="167" fontId="0" fillId="0" borderId="0" xfId="0" applyNumberFormat="1" applyFill="1" applyBorder="1"/>
    <xf numFmtId="0" fontId="0" fillId="0" borderId="0" xfId="0" quotePrefix="1" applyFill="1" applyBorder="1" applyAlignment="1">
      <alignment horizontal="right"/>
    </xf>
    <xf numFmtId="0" fontId="0" fillId="0" borderId="16" xfId="0" quotePrefix="1" applyBorder="1" applyAlignment="1">
      <alignment horizontal="right"/>
    </xf>
    <xf numFmtId="0" fontId="1" fillId="0" borderId="0" xfId="0" applyFont="1" applyAlignment="1"/>
    <xf numFmtId="0" fontId="15" fillId="0" borderId="0" xfId="0" applyFont="1" applyAlignment="1">
      <alignment horizontal="right"/>
    </xf>
    <xf numFmtId="0" fontId="17" fillId="9" borderId="0" xfId="0" applyFont="1" applyFill="1" applyBorder="1" applyAlignment="1">
      <alignment horizontal="right"/>
    </xf>
    <xf numFmtId="0" fontId="18" fillId="9" borderId="0" xfId="0" applyFont="1" applyFill="1" applyBorder="1" applyAlignment="1">
      <alignment horizontal="right" vertical="center" textRotation="90"/>
    </xf>
    <xf numFmtId="0" fontId="25" fillId="9" borderId="0" xfId="0" applyFont="1" applyFill="1" applyAlignment="1">
      <alignment horizontal="center"/>
    </xf>
    <xf numFmtId="0" fontId="0" fillId="0" borderId="0" xfId="0" applyBorder="1" applyAlignment="1">
      <alignment horizontal="center"/>
    </xf>
    <xf numFmtId="0" fontId="7" fillId="0" borderId="0" xfId="0" applyFont="1" applyAlignment="1" applyProtection="1">
      <alignment horizontal="center" wrapText="1"/>
    </xf>
    <xf numFmtId="0" fontId="10" fillId="6" borderId="12" xfId="0" applyFont="1" applyFill="1" applyBorder="1" applyAlignment="1">
      <alignment horizontal="center"/>
    </xf>
    <xf numFmtId="0" fontId="10" fillId="6" borderId="13" xfId="0" applyFont="1" applyFill="1" applyBorder="1" applyAlignment="1">
      <alignment horizontal="center"/>
    </xf>
    <xf numFmtId="0" fontId="10" fillId="6" borderId="14" xfId="0" applyFont="1" applyFill="1" applyBorder="1" applyAlignment="1">
      <alignment horizontal="center"/>
    </xf>
    <xf numFmtId="164" fontId="1" fillId="0" borderId="0" xfId="0" applyNumberFormat="1" applyFont="1" applyAlignment="1">
      <alignment horizontal="left"/>
    </xf>
    <xf numFmtId="0" fontId="1" fillId="4" borderId="17" xfId="0" applyFont="1" applyFill="1" applyBorder="1" applyAlignment="1">
      <alignment horizontal="left"/>
    </xf>
    <xf numFmtId="0" fontId="1" fillId="4" borderId="2" xfId="0" applyFont="1" applyFill="1" applyBorder="1" applyAlignment="1">
      <alignment horizontal="left"/>
    </xf>
    <xf numFmtId="0" fontId="1" fillId="4" borderId="23" xfId="0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1" fillId="4" borderId="22" xfId="0" applyFont="1" applyFill="1" applyBorder="1" applyAlignment="1">
      <alignment horizontal="left"/>
    </xf>
    <xf numFmtId="0" fontId="1" fillId="4" borderId="24" xfId="0" applyFont="1" applyFill="1" applyBorder="1" applyAlignment="1">
      <alignment horizontal="left"/>
    </xf>
    <xf numFmtId="0" fontId="1" fillId="4" borderId="25" xfId="0" applyFont="1" applyFill="1" applyBorder="1" applyAlignment="1">
      <alignment horizontal="left"/>
    </xf>
    <xf numFmtId="2" fontId="5" fillId="4" borderId="17" xfId="0" applyNumberFormat="1" applyFont="1" applyFill="1" applyBorder="1" applyAlignment="1">
      <alignment horizontal="left"/>
    </xf>
    <xf numFmtId="2" fontId="5" fillId="4" borderId="2" xfId="0" applyNumberFormat="1" applyFont="1" applyFill="1" applyBorder="1" applyAlignment="1">
      <alignment horizontal="left"/>
    </xf>
    <xf numFmtId="2" fontId="5" fillId="4" borderId="23" xfId="0" applyNumberFormat="1" applyFont="1" applyFill="1" applyBorder="1" applyAlignment="1">
      <alignment horizontal="left"/>
    </xf>
    <xf numFmtId="0" fontId="0" fillId="0" borderId="2" xfId="0" applyBorder="1" applyAlignment="1"/>
    <xf numFmtId="0" fontId="10" fillId="6" borderId="19" xfId="0" applyFont="1" applyFill="1" applyBorder="1" applyAlignment="1">
      <alignment horizontal="center"/>
    </xf>
    <xf numFmtId="0" fontId="10" fillId="6" borderId="1" xfId="0" applyFont="1" applyFill="1" applyBorder="1" applyAlignment="1">
      <alignment horizontal="center"/>
    </xf>
    <xf numFmtId="0" fontId="10" fillId="6" borderId="21" xfId="0" applyFont="1" applyFill="1" applyBorder="1" applyAlignment="1">
      <alignment horizontal="center"/>
    </xf>
    <xf numFmtId="0" fontId="5" fillId="4" borderId="18" xfId="0" applyFont="1" applyFill="1" applyBorder="1" applyAlignment="1">
      <alignment horizontal="left" vertical="center" wrapText="1"/>
    </xf>
    <xf numFmtId="0" fontId="5" fillId="4" borderId="19" xfId="0" applyFont="1" applyFill="1" applyBorder="1" applyAlignment="1">
      <alignment horizontal="left" vertical="center" wrapText="1"/>
    </xf>
    <xf numFmtId="0" fontId="5" fillId="4" borderId="11" xfId="0" applyFont="1" applyFill="1" applyBorder="1" applyAlignment="1">
      <alignment horizontal="left" vertical="center" wrapText="1"/>
    </xf>
    <xf numFmtId="0" fontId="5" fillId="4" borderId="20" xfId="0" applyFont="1" applyFill="1" applyBorder="1" applyAlignment="1">
      <alignment horizontal="left" vertical="center" wrapText="1"/>
    </xf>
    <xf numFmtId="0" fontId="5" fillId="4" borderId="0" xfId="0" applyFont="1" applyFill="1" applyBorder="1" applyAlignment="1">
      <alignment horizontal="left" vertical="center" wrapText="1"/>
    </xf>
    <xf numFmtId="0" fontId="5" fillId="4" borderId="16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 vertical="center" wrapText="1"/>
    </xf>
    <xf numFmtId="0" fontId="5" fillId="4" borderId="2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10" fillId="6" borderId="12" xfId="0" applyFont="1" applyFill="1" applyBorder="1" applyAlignment="1" applyProtection="1">
      <alignment horizontal="center"/>
    </xf>
    <xf numFmtId="0" fontId="10" fillId="6" borderId="13" xfId="0" applyFont="1" applyFill="1" applyBorder="1" applyAlignment="1" applyProtection="1">
      <alignment horizontal="center"/>
    </xf>
    <xf numFmtId="0" fontId="10" fillId="6" borderId="14" xfId="0" applyFont="1" applyFill="1" applyBorder="1" applyAlignment="1" applyProtection="1">
      <alignment horizontal="center"/>
    </xf>
    <xf numFmtId="0" fontId="10" fillId="6" borderId="19" xfId="0" applyFont="1" applyFill="1" applyBorder="1" applyAlignment="1" applyProtection="1">
      <alignment horizontal="center"/>
    </xf>
    <xf numFmtId="0" fontId="10" fillId="6" borderId="1" xfId="0" applyFont="1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0" fillId="4" borderId="17" xfId="0" applyFill="1" applyBorder="1" applyAlignment="1" applyProtection="1">
      <alignment horizontal="left"/>
    </xf>
    <xf numFmtId="0" fontId="0" fillId="4" borderId="2" xfId="0" applyFill="1" applyBorder="1" applyAlignment="1" applyProtection="1">
      <alignment horizontal="left"/>
    </xf>
    <xf numFmtId="0" fontId="0" fillId="4" borderId="23" xfId="0" applyFill="1" applyBorder="1" applyAlignment="1" applyProtection="1">
      <alignment horizontal="left"/>
    </xf>
    <xf numFmtId="0" fontId="0" fillId="0" borderId="0" xfId="0" applyAlignment="1" applyProtection="1">
      <alignment horizontal="center"/>
    </xf>
    <xf numFmtId="1" fontId="11" fillId="0" borderId="0" xfId="0" applyNumberFormat="1" applyFont="1" applyAlignment="1" applyProtection="1">
      <alignment horizontal="center"/>
    </xf>
    <xf numFmtId="0" fontId="11" fillId="0" borderId="0" xfId="0" applyFont="1" applyAlignment="1" applyProtection="1">
      <alignment horizontal="center"/>
    </xf>
    <xf numFmtId="0" fontId="5" fillId="7" borderId="0" xfId="0" applyFont="1" applyFill="1" applyBorder="1" applyAlignment="1">
      <alignment horizontal="center" vertical="top" textRotation="255"/>
    </xf>
    <xf numFmtId="0" fontId="5" fillId="7" borderId="34" xfId="0" applyFont="1" applyFill="1" applyBorder="1" applyAlignment="1">
      <alignment horizontal="center" vertical="top" textRotation="255"/>
    </xf>
    <xf numFmtId="0" fontId="1" fillId="0" borderId="0" xfId="0" applyFont="1" applyBorder="1" applyAlignment="1" applyProtection="1">
      <alignment horizontal="center"/>
    </xf>
    <xf numFmtId="0" fontId="10" fillId="6" borderId="15" xfId="0" applyFont="1" applyFill="1" applyBorder="1" applyAlignment="1" applyProtection="1">
      <alignment horizontal="center" vertical="center" wrapText="1"/>
    </xf>
    <xf numFmtId="0" fontId="10" fillId="6" borderId="0" xfId="0" applyFont="1" applyFill="1" applyBorder="1" applyAlignment="1" applyProtection="1">
      <alignment horizontal="center" vertical="center" wrapText="1"/>
    </xf>
    <xf numFmtId="0" fontId="10" fillId="6" borderId="16" xfId="0" applyFont="1" applyFill="1" applyBorder="1" applyAlignment="1" applyProtection="1">
      <alignment horizontal="center" vertical="center" wrapText="1"/>
    </xf>
    <xf numFmtId="0" fontId="4" fillId="4" borderId="17" xfId="0" applyFont="1" applyFill="1" applyBorder="1" applyAlignment="1" applyProtection="1">
      <alignment horizontal="left" vertical="center" wrapText="1"/>
    </xf>
    <xf numFmtId="0" fontId="4" fillId="4" borderId="2" xfId="0" applyFont="1" applyFill="1" applyBorder="1" applyAlignment="1" applyProtection="1">
      <alignment horizontal="left" vertical="center" wrapText="1"/>
    </xf>
    <xf numFmtId="0" fontId="4" fillId="4" borderId="23" xfId="0" applyFont="1" applyFill="1" applyBorder="1" applyAlignment="1" applyProtection="1">
      <alignment horizontal="left" vertical="center" wrapText="1"/>
    </xf>
    <xf numFmtId="167" fontId="4" fillId="4" borderId="20" xfId="0" applyNumberFormat="1" applyFont="1" applyFill="1" applyBorder="1" applyAlignment="1" applyProtection="1">
      <alignment horizontal="center" vertical="center" wrapText="1"/>
    </xf>
    <xf numFmtId="167" fontId="4" fillId="4" borderId="16" xfId="0" applyNumberFormat="1" applyFont="1" applyFill="1" applyBorder="1" applyAlignment="1" applyProtection="1">
      <alignment horizontal="center" vertical="center" wrapText="1"/>
    </xf>
    <xf numFmtId="167" fontId="4" fillId="4" borderId="21" xfId="0" applyNumberFormat="1" applyFont="1" applyFill="1" applyBorder="1" applyAlignment="1" applyProtection="1">
      <alignment horizontal="center" vertical="center" wrapText="1"/>
    </xf>
    <xf numFmtId="0" fontId="0" fillId="6" borderId="19" xfId="0" applyFont="1" applyFill="1" applyBorder="1" applyAlignment="1" applyProtection="1">
      <alignment horizontal="left"/>
    </xf>
    <xf numFmtId="0" fontId="0" fillId="6" borderId="1" xfId="0" applyFont="1" applyFill="1" applyBorder="1" applyAlignment="1" applyProtection="1">
      <alignment horizontal="left"/>
    </xf>
    <xf numFmtId="0" fontId="0" fillId="6" borderId="21" xfId="0" applyFont="1" applyFill="1" applyBorder="1" applyAlignment="1" applyProtection="1">
      <alignment horizontal="left"/>
    </xf>
    <xf numFmtId="0" fontId="0" fillId="4" borderId="37" xfId="0" applyFont="1" applyFill="1" applyBorder="1" applyAlignment="1" applyProtection="1">
      <alignment horizontal="left"/>
    </xf>
    <xf numFmtId="0" fontId="0" fillId="4" borderId="35" xfId="0" applyFont="1" applyFill="1" applyBorder="1" applyAlignment="1" applyProtection="1">
      <alignment horizontal="left"/>
    </xf>
    <xf numFmtId="0" fontId="0" fillId="4" borderId="38" xfId="0" applyFont="1" applyFill="1" applyBorder="1" applyAlignment="1" applyProtection="1">
      <alignment horizontal="left"/>
    </xf>
    <xf numFmtId="167" fontId="14" fillId="0" borderId="0" xfId="0" applyNumberFormat="1" applyFont="1" applyBorder="1" applyAlignment="1">
      <alignment horizontal="center"/>
    </xf>
    <xf numFmtId="167" fontId="4" fillId="4" borderId="20" xfId="0" applyNumberFormat="1" applyFont="1" applyFill="1" applyBorder="1" applyAlignment="1" applyProtection="1">
      <alignment horizontal="left" vertical="center" wrapText="1"/>
    </xf>
    <xf numFmtId="167" fontId="4" fillId="4" borderId="16" xfId="0" applyNumberFormat="1" applyFont="1" applyFill="1" applyBorder="1" applyAlignment="1" applyProtection="1">
      <alignment horizontal="left" vertical="center" wrapText="1"/>
    </xf>
    <xf numFmtId="167" fontId="4" fillId="4" borderId="21" xfId="0" applyNumberFormat="1" applyFont="1" applyFill="1" applyBorder="1" applyAlignment="1" applyProtection="1">
      <alignment horizontal="left" vertical="center" wrapText="1"/>
    </xf>
    <xf numFmtId="0" fontId="0" fillId="4" borderId="22" xfId="0" applyFill="1" applyBorder="1" applyAlignment="1" applyProtection="1">
      <alignment horizontal="left"/>
    </xf>
    <xf numFmtId="0" fontId="0" fillId="4" borderId="24" xfId="0" applyFill="1" applyBorder="1" applyAlignment="1" applyProtection="1">
      <alignment horizontal="left"/>
    </xf>
    <xf numFmtId="0" fontId="0" fillId="4" borderId="25" xfId="0" applyFill="1" applyBorder="1" applyAlignment="1" applyProtection="1">
      <alignment horizontal="left"/>
    </xf>
    <xf numFmtId="0" fontId="10" fillId="6" borderId="18" xfId="0" applyFont="1" applyFill="1" applyBorder="1" applyAlignment="1" applyProtection="1">
      <alignment horizontal="center" vertical="center" wrapText="1"/>
    </xf>
    <xf numFmtId="0" fontId="10" fillId="6" borderId="11" xfId="0" applyFont="1" applyFill="1" applyBorder="1" applyAlignment="1" applyProtection="1">
      <alignment horizontal="center" vertical="center" wrapText="1"/>
    </xf>
    <xf numFmtId="0" fontId="10" fillId="6" borderId="20" xfId="0" applyFont="1" applyFill="1" applyBorder="1" applyAlignment="1" applyProtection="1">
      <alignment horizontal="center" vertical="center" wrapText="1"/>
    </xf>
    <xf numFmtId="0" fontId="5" fillId="11" borderId="31" xfId="0" applyFont="1" applyFill="1" applyBorder="1" applyAlignment="1">
      <alignment horizontal="center" vertical="top" textRotation="255"/>
    </xf>
    <xf numFmtId="0" fontId="5" fillId="11" borderId="0" xfId="0" applyFont="1" applyFill="1" applyBorder="1" applyAlignment="1">
      <alignment horizontal="center" vertical="top" textRotation="255"/>
    </xf>
    <xf numFmtId="0" fontId="0" fillId="4" borderId="41" xfId="0" applyFill="1" applyBorder="1" applyAlignment="1" applyProtection="1">
      <alignment horizontal="left"/>
    </xf>
    <xf numFmtId="0" fontId="0" fillId="4" borderId="32" xfId="0" applyFill="1" applyBorder="1" applyAlignment="1" applyProtection="1">
      <alignment horizontal="left"/>
    </xf>
    <xf numFmtId="0" fontId="0" fillId="4" borderId="42" xfId="0" applyFill="1" applyBorder="1" applyAlignment="1" applyProtection="1">
      <alignment horizontal="left"/>
    </xf>
    <xf numFmtId="0" fontId="0" fillId="0" borderId="16" xfId="0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left"/>
    </xf>
    <xf numFmtId="0" fontId="1" fillId="0" borderId="0" xfId="0" applyFont="1" applyAlignment="1"/>
    <xf numFmtId="0" fontId="20" fillId="0" borderId="0" xfId="0" applyFont="1" applyAlignment="1">
      <alignment horizontal="center"/>
    </xf>
    <xf numFmtId="0" fontId="8" fillId="12" borderId="0" xfId="1" applyFont="1" applyFill="1" applyAlignment="1">
      <alignment horizontal="center"/>
    </xf>
  </cellXfs>
  <cellStyles count="2">
    <cellStyle name="Hyperlink" xfId="1" builtinId="8"/>
    <cellStyle name="Standaard" xfId="0" builtinId="0"/>
  </cellStyles>
  <dxfs count="0"/>
  <tableStyles count="0" defaultTableStyle="TableStyleMedium9" defaultPivotStyle="PivotStyleLight16"/>
  <colors>
    <mruColors>
      <color rgb="FFCCFFCC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C172 NORMAL CATEGORY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'OO-VCW'!$B$25:$B$30</c:f>
              <c:numCache>
                <c:formatCode>General</c:formatCode>
                <c:ptCount val="6"/>
                <c:pt idx="0">
                  <c:v>35</c:v>
                </c:pt>
                <c:pt idx="1">
                  <c:v>35</c:v>
                </c:pt>
                <c:pt idx="2">
                  <c:v>36.5</c:v>
                </c:pt>
                <c:pt idx="3">
                  <c:v>40</c:v>
                </c:pt>
                <c:pt idx="4">
                  <c:v>47.3</c:v>
                </c:pt>
                <c:pt idx="5">
                  <c:v>47.3</c:v>
                </c:pt>
              </c:numCache>
            </c:numRef>
          </c:xVal>
          <c:yVal>
            <c:numRef>
              <c:f>'OO-VCW'!$C$25:$C$30</c:f>
              <c:numCache>
                <c:formatCode>0.00</c:formatCode>
                <c:ptCount val="6"/>
                <c:pt idx="0">
                  <c:v>0</c:v>
                </c:pt>
                <c:pt idx="1">
                  <c:v>1950</c:v>
                </c:pt>
                <c:pt idx="2">
                  <c:v>2100</c:v>
                </c:pt>
                <c:pt idx="3">
                  <c:v>2450</c:v>
                </c:pt>
                <c:pt idx="4">
                  <c:v>2450</c:v>
                </c:pt>
                <c:pt idx="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3C1-4C1B-9E3A-66DE13C93519}"/>
            </c:ext>
          </c:extLst>
        </c:ser>
        <c:ser>
          <c:idx val="1"/>
          <c:order val="1"/>
          <c:tx>
            <c:strRef>
              <c:f>'W&amp;B FORM'!$B$15</c:f>
              <c:strCache>
                <c:ptCount val="1"/>
                <c:pt idx="0">
                  <c:v>RAMP WEIGHT AND MOMENT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square"/>
            <c:size val="10"/>
            <c:spPr>
              <a:solidFill>
                <a:schemeClr val="accent1"/>
              </a:solidFill>
              <a:ln w="28575">
                <a:solidFill>
                  <a:srgbClr val="1F497D"/>
                </a:solidFill>
              </a:ln>
            </c:spPr>
          </c:marker>
          <c:xVal>
            <c:strRef>
              <c:f>'W&amp;B FORM'!$J$15</c:f>
              <c:strCache>
                <c:ptCount val="1"/>
                <c:pt idx="0">
                  <c:v>COMPLETE THE FORM</c:v>
                </c:pt>
              </c:strCache>
            </c:strRef>
          </c:xVal>
          <c:yVal>
            <c:numRef>
              <c:f>'W&amp;B FORM'!$H$15</c:f>
              <c:numCache>
                <c:formatCode>0.00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C1-4C1B-9E3A-66DE13C93519}"/>
            </c:ext>
          </c:extLst>
        </c:ser>
        <c:ser>
          <c:idx val="2"/>
          <c:order val="2"/>
          <c:tx>
            <c:strRef>
              <c:f>'W&amp;B FORM'!$B$17</c:f>
              <c:strCache>
                <c:ptCount val="1"/>
                <c:pt idx="0">
                  <c:v>TAKE-OFF WEIGHT AND MOMENT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square"/>
            <c:size val="10"/>
            <c:spPr>
              <a:solidFill>
                <a:srgbClr val="FFFF00"/>
              </a:solidFill>
              <a:ln w="28575">
                <a:solidFill>
                  <a:srgbClr val="FFC000"/>
                </a:solidFill>
              </a:ln>
            </c:spPr>
          </c:marker>
          <c:xVal>
            <c:strRef>
              <c:f>'W&amp;B FORM'!$J$17</c:f>
              <c:strCache>
                <c:ptCount val="1"/>
                <c:pt idx="0">
                  <c:v>COMPLETE THE FORM</c:v>
                </c:pt>
              </c:strCache>
            </c:strRef>
          </c:xVal>
          <c:yVal>
            <c:numRef>
              <c:f>'W&amp;B FORM'!$H$17</c:f>
              <c:numCache>
                <c:formatCode>0.00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3C1-4C1B-9E3A-66DE13C93519}"/>
            </c:ext>
          </c:extLst>
        </c:ser>
        <c:ser>
          <c:idx val="3"/>
          <c:order val="3"/>
          <c:tx>
            <c:strRef>
              <c:f>'W&amp;B FORM'!$B$19</c:f>
              <c:strCache>
                <c:ptCount val="1"/>
                <c:pt idx="0">
                  <c:v>LANDING WEIGHT AND MOMENT</c:v>
                </c:pt>
              </c:strCache>
            </c:strRef>
          </c:tx>
          <c:marker>
            <c:symbol val="square"/>
            <c:size val="10"/>
            <c:spPr>
              <a:solidFill>
                <a:schemeClr val="accent2">
                  <a:lumMod val="40000"/>
                  <a:lumOff val="60000"/>
                </a:schemeClr>
              </a:solidFill>
              <a:ln w="28575">
                <a:solidFill>
                  <a:schemeClr val="accent2">
                    <a:lumMod val="50000"/>
                  </a:schemeClr>
                </a:solidFill>
              </a:ln>
            </c:spPr>
          </c:marker>
          <c:xVal>
            <c:strRef>
              <c:f>'W&amp;B FORM'!$J$19</c:f>
              <c:strCache>
                <c:ptCount val="1"/>
                <c:pt idx="0">
                  <c:v>COMPLETE THE FORM</c:v>
                </c:pt>
              </c:strCache>
            </c:strRef>
          </c:xVal>
          <c:yVal>
            <c:numRef>
              <c:f>'W&amp;B FORM'!$H$19</c:f>
              <c:numCache>
                <c:formatCode>0.00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3C1-4C1B-9E3A-66DE13C93519}"/>
            </c:ext>
          </c:extLst>
        </c:ser>
        <c:ser>
          <c:idx val="4"/>
          <c:order val="4"/>
          <c:tx>
            <c:v>C172 UTILITY CATEGORY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'OO-VCW'!$D$25:$D$29</c:f>
              <c:numCache>
                <c:formatCode>General</c:formatCode>
                <c:ptCount val="5"/>
                <c:pt idx="0">
                  <c:v>35</c:v>
                </c:pt>
                <c:pt idx="1">
                  <c:v>35</c:v>
                </c:pt>
                <c:pt idx="2">
                  <c:v>36.5</c:v>
                </c:pt>
                <c:pt idx="3">
                  <c:v>40.5</c:v>
                </c:pt>
                <c:pt idx="4">
                  <c:v>40.5</c:v>
                </c:pt>
              </c:numCache>
            </c:numRef>
          </c:xVal>
          <c:yVal>
            <c:numRef>
              <c:f>'OO-VCW'!$E$25:$E$29</c:f>
              <c:numCache>
                <c:formatCode>0.00</c:formatCode>
                <c:ptCount val="5"/>
                <c:pt idx="0">
                  <c:v>0</c:v>
                </c:pt>
                <c:pt idx="1">
                  <c:v>1950</c:v>
                </c:pt>
                <c:pt idx="2">
                  <c:v>2100</c:v>
                </c:pt>
                <c:pt idx="3">
                  <c:v>2100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3C1-4C1B-9E3A-66DE13C93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18016"/>
        <c:axId val="100919552"/>
      </c:scatterChart>
      <c:valAx>
        <c:axId val="100918016"/>
        <c:scaling>
          <c:orientation val="minMax"/>
          <c:max val="50"/>
          <c:min val="30"/>
        </c:scaling>
        <c:delete val="0"/>
        <c:axPos val="b"/>
        <c:minorGridlines/>
        <c:numFmt formatCode="General" sourceLinked="1"/>
        <c:majorTickMark val="out"/>
        <c:minorTickMark val="in"/>
        <c:tickLblPos val="nextTo"/>
        <c:crossAx val="100919552"/>
        <c:crosses val="autoZero"/>
        <c:crossBetween val="midCat"/>
        <c:majorUnit val="2"/>
        <c:minorUnit val="1"/>
      </c:valAx>
      <c:valAx>
        <c:axId val="100919552"/>
        <c:scaling>
          <c:orientation val="minMax"/>
          <c:max val="2500"/>
          <c:min val="1400"/>
        </c:scaling>
        <c:delete val="0"/>
        <c:axPos val="l"/>
        <c:majorGridlines/>
        <c:minorGridlines/>
        <c:numFmt formatCode="0.00" sourceLinked="1"/>
        <c:majorTickMark val="out"/>
        <c:minorTickMark val="in"/>
        <c:tickLblPos val="nextTo"/>
        <c:crossAx val="100918016"/>
        <c:crosses val="autoZero"/>
        <c:crossBetween val="midCat"/>
        <c:majorUnit val="100"/>
        <c:minorUnit val="50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W&amp;B</a:t>
            </a:r>
            <a:r>
              <a:rPr lang="en-US" baseline="0"/>
              <a:t> OO-VCW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'OO-VCW'!$B$23:$C$23</c:f>
              <c:strCache>
                <c:ptCount val="1"/>
                <c:pt idx="0">
                  <c:v>NORMAL CATEGORY</c:v>
                </c:pt>
              </c:strCache>
            </c:strRef>
          </c:tx>
          <c:xVal>
            <c:numRef>
              <c:f>'OO-VCW'!$B$25:$B$30</c:f>
              <c:numCache>
                <c:formatCode>General</c:formatCode>
                <c:ptCount val="6"/>
                <c:pt idx="0">
                  <c:v>35</c:v>
                </c:pt>
                <c:pt idx="1">
                  <c:v>35</c:v>
                </c:pt>
                <c:pt idx="2">
                  <c:v>36.5</c:v>
                </c:pt>
                <c:pt idx="3">
                  <c:v>40</c:v>
                </c:pt>
                <c:pt idx="4">
                  <c:v>47.3</c:v>
                </c:pt>
                <c:pt idx="5">
                  <c:v>47.3</c:v>
                </c:pt>
              </c:numCache>
            </c:numRef>
          </c:xVal>
          <c:yVal>
            <c:numRef>
              <c:f>'OO-VCW'!$C$25:$C$30</c:f>
              <c:numCache>
                <c:formatCode>0.00</c:formatCode>
                <c:ptCount val="6"/>
                <c:pt idx="0">
                  <c:v>0</c:v>
                </c:pt>
                <c:pt idx="1">
                  <c:v>1950</c:v>
                </c:pt>
                <c:pt idx="2">
                  <c:v>2100</c:v>
                </c:pt>
                <c:pt idx="3">
                  <c:v>2450</c:v>
                </c:pt>
                <c:pt idx="4">
                  <c:v>2450</c:v>
                </c:pt>
                <c:pt idx="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CD-4B60-97A9-D3723A914D09}"/>
            </c:ext>
          </c:extLst>
        </c:ser>
        <c:ser>
          <c:idx val="1"/>
          <c:order val="1"/>
          <c:tx>
            <c:strRef>
              <c:f>'OO-VCW'!$D$23</c:f>
              <c:strCache>
                <c:ptCount val="1"/>
                <c:pt idx="0">
                  <c:v>UTILITY CATEGORY</c:v>
                </c:pt>
              </c:strCache>
            </c:strRef>
          </c:tx>
          <c:xVal>
            <c:numRef>
              <c:f>'OO-VCW'!$D$25:$D$29</c:f>
              <c:numCache>
                <c:formatCode>General</c:formatCode>
                <c:ptCount val="5"/>
                <c:pt idx="0">
                  <c:v>35</c:v>
                </c:pt>
                <c:pt idx="1">
                  <c:v>35</c:v>
                </c:pt>
                <c:pt idx="2">
                  <c:v>36.5</c:v>
                </c:pt>
                <c:pt idx="3">
                  <c:v>40.5</c:v>
                </c:pt>
                <c:pt idx="4">
                  <c:v>40.5</c:v>
                </c:pt>
              </c:numCache>
            </c:numRef>
          </c:xVal>
          <c:yVal>
            <c:numRef>
              <c:f>'OO-VCW'!$E$25:$E$29</c:f>
              <c:numCache>
                <c:formatCode>0.00</c:formatCode>
                <c:ptCount val="5"/>
                <c:pt idx="0">
                  <c:v>0</c:v>
                </c:pt>
                <c:pt idx="1">
                  <c:v>1950</c:v>
                </c:pt>
                <c:pt idx="2">
                  <c:v>2100</c:v>
                </c:pt>
                <c:pt idx="3">
                  <c:v>2100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CD-4B60-97A9-D3723A914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085760"/>
        <c:axId val="102087296"/>
      </c:scatterChart>
      <c:valAx>
        <c:axId val="102085760"/>
        <c:scaling>
          <c:orientation val="minMax"/>
          <c:max val="50"/>
          <c:min val="30"/>
        </c:scaling>
        <c:delete val="0"/>
        <c:axPos val="b"/>
        <c:numFmt formatCode="General" sourceLinked="1"/>
        <c:majorTickMark val="out"/>
        <c:minorTickMark val="in"/>
        <c:tickLblPos val="nextTo"/>
        <c:crossAx val="102087296"/>
        <c:crosses val="autoZero"/>
        <c:crossBetween val="midCat"/>
        <c:majorUnit val="5"/>
        <c:minorUnit val="1"/>
      </c:valAx>
      <c:valAx>
        <c:axId val="102087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208576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Drop" dropLines="3" dropStyle="combo" dx="16" fmlaLink="$E$37" fmlaRange="$M$11:$M$13" sel="1" val="0"/>
</file>

<file path=xl/ctrlProps/ctrlProp1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Scroll" dx="16" fmlaLink="$E$9" horiz="1" max="46" min="34" page="10" val="37"/>
</file>

<file path=xl/ctrlProps/ctrlProp5.xml><?xml version="1.0" encoding="utf-8"?>
<formControlPr xmlns="http://schemas.microsoft.com/office/spreadsheetml/2009/9/main" objectType="Scroll" dx="16" fmlaLink="$E$10" horiz="1" max="46" min="34" page="10" val="37"/>
</file>

<file path=xl/ctrlProps/ctrlProp6.xml><?xml version="1.0" encoding="utf-8"?>
<formControlPr xmlns="http://schemas.microsoft.com/office/spreadsheetml/2009/9/main" objectType="Scroll" dx="16" fmlaLink="$E$13" horiz="1" max="107" min="75" page="10" val="95"/>
</file>

<file path=xl/ctrlProps/ctrlProp7.xml><?xml version="1.0" encoding="utf-8"?>
<formControlPr xmlns="http://schemas.microsoft.com/office/spreadsheetml/2009/9/main" objectType="Scroll" dx="16" fmlaLink="$E$14" horiz="1" max="142" min="108" page="10" val="123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Drop" dropLines="3" dropStyle="combo" dx="16" fmlaLink="$E$17" fmlaRange="$M$11:$M$13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5</xdr:col>
      <xdr:colOff>552449</xdr:colOff>
      <xdr:row>4</xdr:row>
      <xdr:rowOff>28575</xdr:rowOff>
    </xdr:to>
    <xdr:pic>
      <xdr:nvPicPr>
        <xdr:cNvPr id="2" name="Afbeelding 1" descr="vcglogo.g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15344"/>
        <a:stretch>
          <a:fillRect/>
        </a:stretch>
      </xdr:blipFill>
      <xdr:spPr>
        <a:xfrm>
          <a:off x="66675" y="0"/>
          <a:ext cx="4821554" cy="88963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933450</xdr:colOff>
          <xdr:row>8</xdr:row>
          <xdr:rowOff>0</xdr:rowOff>
        </xdr:from>
        <xdr:to>
          <xdr:col>4</xdr:col>
          <xdr:colOff>0</xdr:colOff>
          <xdr:row>9</xdr:row>
          <xdr:rowOff>0</xdr:rowOff>
        </xdr:to>
        <xdr:sp macro="" textlink="">
          <xdr:nvSpPr>
            <xdr:cNvPr id="10242" name="Knop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0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4864" rIns="54864" bIns="54864" anchor="ctr" upright="1"/>
            <a:lstStyle/>
            <a:p>
              <a:pPr algn="ctr" rtl="0">
                <a:defRPr sz="1000"/>
              </a:pPr>
              <a:r>
                <a:rPr lang="nl-B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Open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933450</xdr:colOff>
          <xdr:row>6</xdr:row>
          <xdr:rowOff>0</xdr:rowOff>
        </xdr:from>
        <xdr:to>
          <xdr:col>4</xdr:col>
          <xdr:colOff>0</xdr:colOff>
          <xdr:row>7</xdr:row>
          <xdr:rowOff>0</xdr:rowOff>
        </xdr:to>
        <xdr:sp macro="" textlink="">
          <xdr:nvSpPr>
            <xdr:cNvPr id="10243" name="Knop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0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4864" rIns="54864" bIns="54864" anchor="ctr" upright="1"/>
            <a:lstStyle/>
            <a:p>
              <a:pPr algn="ctr" rtl="0">
                <a:defRPr sz="1000"/>
              </a:pPr>
              <a:r>
                <a:rPr lang="nl-B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Open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590550</xdr:colOff>
          <xdr:row>9</xdr:row>
          <xdr:rowOff>68580</xdr:rowOff>
        </xdr:from>
        <xdr:to>
          <xdr:col>4</xdr:col>
          <xdr:colOff>0</xdr:colOff>
          <xdr:row>10</xdr:row>
          <xdr:rowOff>57150</xdr:rowOff>
        </xdr:to>
        <xdr:sp macro="" textlink="">
          <xdr:nvSpPr>
            <xdr:cNvPr id="10250" name="Knop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0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4864" rIns="54864" bIns="54864" anchor="ctr" upright="1"/>
            <a:lstStyle/>
            <a:p>
              <a:pPr algn="ctr" rtl="0">
                <a:defRPr sz="1000"/>
              </a:pPr>
              <a:r>
                <a:rPr lang="nl-B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Print preview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45509</xdr:rowOff>
    </xdr:from>
    <xdr:to>
      <xdr:col>16</xdr:col>
      <xdr:colOff>112184</xdr:colOff>
      <xdr:row>1</xdr:row>
      <xdr:rowOff>26458</xdr:rowOff>
    </xdr:to>
    <xdr:pic>
      <xdr:nvPicPr>
        <xdr:cNvPr id="2" name="Afbeelding 1" descr="vcglogo.g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0" y="45509"/>
          <a:ext cx="12867217" cy="1600199"/>
        </a:xfrm>
        <a:prstGeom prst="rect">
          <a:avLst/>
        </a:prstGeom>
      </xdr:spPr>
    </xdr:pic>
    <xdr:clientData/>
  </xdr:twoCellAnchor>
  <xdr:twoCellAnchor>
    <xdr:from>
      <xdr:col>1</xdr:col>
      <xdr:colOff>50799</xdr:colOff>
      <xdr:row>20</xdr:row>
      <xdr:rowOff>39158</xdr:rowOff>
    </xdr:from>
    <xdr:to>
      <xdr:col>16</xdr:col>
      <xdr:colOff>63500</xdr:colOff>
      <xdr:row>51</xdr:row>
      <xdr:rowOff>84665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8</xdr:row>
          <xdr:rowOff>11430</xdr:rowOff>
        </xdr:from>
        <xdr:to>
          <xdr:col>6</xdr:col>
          <xdr:colOff>1352550</xdr:colOff>
          <xdr:row>9</xdr:row>
          <xdr:rowOff>846</xdr:rowOff>
        </xdr:to>
        <xdr:sp macro="" textlink="">
          <xdr:nvSpPr>
            <xdr:cNvPr id="1033" name="Schuifbalk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9</xdr:row>
          <xdr:rowOff>11430</xdr:rowOff>
        </xdr:from>
        <xdr:to>
          <xdr:col>6</xdr:col>
          <xdr:colOff>1352550</xdr:colOff>
          <xdr:row>10</xdr:row>
          <xdr:rowOff>847</xdr:rowOff>
        </xdr:to>
        <xdr:sp macro="" textlink="">
          <xdr:nvSpPr>
            <xdr:cNvPr id="1034" name="Schuifbalk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12</xdr:row>
          <xdr:rowOff>11430</xdr:rowOff>
        </xdr:from>
        <xdr:to>
          <xdr:col>6</xdr:col>
          <xdr:colOff>1352550</xdr:colOff>
          <xdr:row>13</xdr:row>
          <xdr:rowOff>847</xdr:rowOff>
        </xdr:to>
        <xdr:sp macro="" textlink="">
          <xdr:nvSpPr>
            <xdr:cNvPr id="1035" name="Schuifbalk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13</xdr:row>
          <xdr:rowOff>11430</xdr:rowOff>
        </xdr:from>
        <xdr:to>
          <xdr:col>6</xdr:col>
          <xdr:colOff>1352550</xdr:colOff>
          <xdr:row>14</xdr:row>
          <xdr:rowOff>847</xdr:rowOff>
        </xdr:to>
        <xdr:sp macro="" textlink="">
          <xdr:nvSpPr>
            <xdr:cNvPr id="1036" name="Schuifbalk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304800</xdr:colOff>
          <xdr:row>4</xdr:row>
          <xdr:rowOff>19050</xdr:rowOff>
        </xdr:from>
        <xdr:to>
          <xdr:col>6</xdr:col>
          <xdr:colOff>876300</xdr:colOff>
          <xdr:row>5</xdr:row>
          <xdr:rowOff>87630</xdr:rowOff>
        </xdr:to>
        <xdr:sp macro="" textlink="">
          <xdr:nvSpPr>
            <xdr:cNvPr id="1041" name="Knop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4864" rIns="54864" bIns="54864" anchor="ctr" upright="1"/>
            <a:lstStyle/>
            <a:p>
              <a:pPr algn="ctr" rtl="0">
                <a:defRPr sz="1000"/>
              </a:pPr>
              <a:r>
                <a:rPr lang="nl-B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165103</xdr:colOff>
      <xdr:row>0</xdr:row>
      <xdr:rowOff>45509</xdr:rowOff>
    </xdr:from>
    <xdr:to>
      <xdr:col>9</xdr:col>
      <xdr:colOff>222253</xdr:colOff>
      <xdr:row>1</xdr:row>
      <xdr:rowOff>26458</xdr:rowOff>
    </xdr:to>
    <xdr:pic>
      <xdr:nvPicPr>
        <xdr:cNvPr id="10" name="Afbeelding 9" descr="vcglogo.gif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1328" y="45509"/>
          <a:ext cx="7810500" cy="160019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1790700</xdr:colOff>
          <xdr:row>15</xdr:row>
          <xdr:rowOff>182880</xdr:rowOff>
        </xdr:from>
        <xdr:to>
          <xdr:col>4</xdr:col>
          <xdr:colOff>1325880</xdr:colOff>
          <xdr:row>17</xdr:row>
          <xdr:rowOff>0</xdr:rowOff>
        </xdr:to>
        <xdr:sp macro="" textlink="">
          <xdr:nvSpPr>
            <xdr:cNvPr id="2049" name="Vervolgkeuzelijs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1790700</xdr:colOff>
          <xdr:row>36</xdr:row>
          <xdr:rowOff>0</xdr:rowOff>
        </xdr:from>
        <xdr:to>
          <xdr:col>4</xdr:col>
          <xdr:colOff>1325880</xdr:colOff>
          <xdr:row>37</xdr:row>
          <xdr:rowOff>11430</xdr:rowOff>
        </xdr:to>
        <xdr:sp macro="" textlink="">
          <xdr:nvSpPr>
            <xdr:cNvPr id="2052" name="Vervolgkeuzelijs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2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514350</xdr:colOff>
          <xdr:row>2</xdr:row>
          <xdr:rowOff>30480</xdr:rowOff>
        </xdr:from>
        <xdr:to>
          <xdr:col>3</xdr:col>
          <xdr:colOff>1085850</xdr:colOff>
          <xdr:row>3</xdr:row>
          <xdr:rowOff>95250</xdr:rowOff>
        </xdr:to>
        <xdr:sp macro="" textlink="">
          <xdr:nvSpPr>
            <xdr:cNvPr id="2055" name="Knop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4864" rIns="54864" bIns="54864" anchor="ctr" upright="1"/>
            <a:lstStyle/>
            <a:p>
              <a:pPr algn="ctr" rtl="0">
                <a:defRPr sz="1000"/>
              </a:pPr>
              <a:r>
                <a:rPr lang="nl-B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30</xdr:row>
      <xdr:rowOff>114300</xdr:rowOff>
    </xdr:from>
    <xdr:to>
      <xdr:col>8</xdr:col>
      <xdr:colOff>247650</xdr:colOff>
      <xdr:row>46</xdr:row>
      <xdr:rowOff>0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495300</xdr:colOff>
      <xdr:row>1</xdr:row>
      <xdr:rowOff>1066801</xdr:rowOff>
    </xdr:from>
    <xdr:to>
      <xdr:col>18</xdr:col>
      <xdr:colOff>247650</xdr:colOff>
      <xdr:row>47</xdr:row>
      <xdr:rowOff>38101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12" t="14899" r="4641" b="7576"/>
        <a:stretch/>
      </xdr:blipFill>
      <xdr:spPr>
        <a:xfrm rot="5400000">
          <a:off x="5729287" y="2690814"/>
          <a:ext cx="8715375" cy="5848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ahead.classy.be/weight-balance/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7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Relationship Id="rId9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1.xml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1">
    <tabColor rgb="FFFFFF00"/>
  </sheetPr>
  <dimension ref="A1:H18"/>
  <sheetViews>
    <sheetView tabSelected="1" workbookViewId="0">
      <selection activeCell="B5" sqref="B5"/>
    </sheetView>
  </sheetViews>
  <sheetFormatPr defaultColWidth="0" defaultRowHeight="14.4" zeroHeight="1" x14ac:dyDescent="0.55000000000000004"/>
  <cols>
    <col min="1" max="3" width="9.15625" style="134" customWidth="1"/>
    <col min="4" max="4" width="23.26171875" style="134" bestFit="1" customWidth="1"/>
    <col min="5" max="5" width="9.15625" style="135" customWidth="1"/>
    <col min="6" max="6" width="9.15625" style="134" customWidth="1"/>
    <col min="7" max="16384" width="9.15625" style="134" hidden="1"/>
  </cols>
  <sheetData>
    <row r="1" spans="1:6" x14ac:dyDescent="0.55000000000000004"/>
    <row r="2" spans="1:6" x14ac:dyDescent="0.55000000000000004"/>
    <row r="3" spans="1:6" x14ac:dyDescent="0.55000000000000004"/>
    <row r="4" spans="1:6" ht="24.75" customHeight="1" x14ac:dyDescent="0.55000000000000004">
      <c r="A4" s="135"/>
      <c r="B4" s="135"/>
      <c r="C4" s="135"/>
      <c r="D4" s="135"/>
      <c r="F4" s="135"/>
    </row>
    <row r="5" spans="1:6" s="136" customFormat="1" x14ac:dyDescent="0.55000000000000004">
      <c r="A5" s="150" t="s">
        <v>153</v>
      </c>
      <c r="B5" s="150"/>
      <c r="C5" s="150"/>
      <c r="D5" s="150"/>
      <c r="E5" s="192" t="s">
        <v>168</v>
      </c>
      <c r="F5" s="192"/>
    </row>
    <row r="6" spans="1:6" x14ac:dyDescent="0.55000000000000004">
      <c r="A6" s="135"/>
      <c r="B6" s="135"/>
      <c r="C6" s="135"/>
      <c r="D6" s="135"/>
      <c r="F6" s="135"/>
    </row>
    <row r="7" spans="1:6" x14ac:dyDescent="0.55000000000000004">
      <c r="B7" s="193" t="s">
        <v>91</v>
      </c>
      <c r="C7" s="140" t="s">
        <v>79</v>
      </c>
      <c r="F7" s="135"/>
    </row>
    <row r="8" spans="1:6" x14ac:dyDescent="0.55000000000000004">
      <c r="B8" s="193"/>
      <c r="F8" s="135"/>
    </row>
    <row r="9" spans="1:6" x14ac:dyDescent="0.55000000000000004">
      <c r="B9" s="193"/>
      <c r="C9" s="140" t="s">
        <v>80</v>
      </c>
      <c r="D9" s="135"/>
      <c r="F9" s="135"/>
    </row>
    <row r="10" spans="1:6" x14ac:dyDescent="0.55000000000000004">
      <c r="A10" s="135"/>
      <c r="B10" s="139"/>
      <c r="C10" s="139"/>
      <c r="F10" s="135"/>
    </row>
    <row r="11" spans="1:6" x14ac:dyDescent="0.55000000000000004">
      <c r="A11" s="135"/>
      <c r="B11" s="137"/>
      <c r="C11" s="138"/>
      <c r="D11" s="135"/>
      <c r="F11" s="135"/>
    </row>
    <row r="17" spans="1:8" x14ac:dyDescent="0.55000000000000004">
      <c r="A17" s="194" t="s">
        <v>166</v>
      </c>
      <c r="B17" s="194"/>
      <c r="C17" s="194"/>
      <c r="D17" s="194"/>
      <c r="E17" s="194"/>
      <c r="F17" s="194"/>
    </row>
    <row r="18" spans="1:8" x14ac:dyDescent="0.55000000000000004">
      <c r="A18" s="277" t="s">
        <v>169</v>
      </c>
      <c r="B18" s="277"/>
      <c r="C18" s="277"/>
      <c r="D18" s="277"/>
      <c r="E18" s="277"/>
      <c r="F18" s="277"/>
      <c r="G18" s="277"/>
      <c r="H18" s="277"/>
    </row>
  </sheetData>
  <sheetProtection sheet="1" objects="1" scenarios="1" selectLockedCells="1" selectUnlockedCells="1"/>
  <mergeCells count="4">
    <mergeCell ref="E5:F5"/>
    <mergeCell ref="B7:B9"/>
    <mergeCell ref="A17:F17"/>
    <mergeCell ref="A18:H18"/>
  </mergeCells>
  <hyperlinks>
    <hyperlink ref="A18:F18" r:id="rId1" display="download the latest version from https://goahead.classy.be/weight-balance/ " xr:uid="{FE924E7E-56B5-44ED-8760-1047DBD2C231}"/>
  </hyperlinks>
  <pageMargins left="0.7" right="0.7" top="0.75" bottom="0.75" header="0.3" footer="0.3"/>
  <pageSetup paperSize="9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2" r:id="rId5" name="Knop 2">
              <controlPr defaultSize="0" print="0" autoFill="0" autoPict="0" macro="[0]!Knop2_Klikken">
                <anchor moveWithCells="1" sizeWithCells="1">
                  <from>
                    <xdr:col>3</xdr:col>
                    <xdr:colOff>933450</xdr:colOff>
                    <xdr:row>8</xdr:row>
                    <xdr:rowOff>0</xdr:rowOff>
                  </from>
                  <to>
                    <xdr:col>4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6" name="Knop 3">
              <controlPr defaultSize="0" print="0" autoFill="0" autoPict="0" macro="[0]!Knop3_Klikken">
                <anchor moveWithCells="1" sizeWithCells="1">
                  <from>
                    <xdr:col>3</xdr:col>
                    <xdr:colOff>933450</xdr:colOff>
                    <xdr:row>6</xdr:row>
                    <xdr:rowOff>0</xdr:rowOff>
                  </from>
                  <to>
                    <xdr:col>4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7" name="Knop 10">
              <controlPr defaultSize="0" print="0" autoFill="0" autoPict="0" macro="[0]!PrintPreview_Click">
                <anchor moveWithCells="1" sizeWithCells="1">
                  <from>
                    <xdr:col>1</xdr:col>
                    <xdr:colOff>590550</xdr:colOff>
                    <xdr:row>9</xdr:row>
                    <xdr:rowOff>68580</xdr:rowOff>
                  </from>
                  <to>
                    <xdr:col>4</xdr:col>
                    <xdr:colOff>0</xdr:colOff>
                    <xdr:row>10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1">
    <tabColor rgb="FF002060"/>
    <pageSetUpPr fitToPage="1"/>
  </sheetPr>
  <dimension ref="B1:AH49"/>
  <sheetViews>
    <sheetView zoomScale="90" zoomScaleNormal="90" workbookViewId="0">
      <selection activeCell="H8" sqref="H8"/>
    </sheetView>
  </sheetViews>
  <sheetFormatPr defaultRowHeight="14.4" x14ac:dyDescent="0.55000000000000004"/>
  <cols>
    <col min="1" max="1" width="3.41796875" customWidth="1"/>
    <col min="4" max="4" width="9.83984375" bestFit="1" customWidth="1"/>
    <col min="5" max="5" width="15.26171875" customWidth="1"/>
    <col min="6" max="6" width="2" customWidth="1"/>
    <col min="7" max="7" width="21.26171875" customWidth="1"/>
    <col min="8" max="8" width="12.68359375" bestFit="1" customWidth="1"/>
    <col min="9" max="9" width="19.41796875" customWidth="1"/>
    <col min="10" max="10" width="20.26171875" bestFit="1" customWidth="1"/>
    <col min="11" max="11" width="19.578125" customWidth="1"/>
    <col min="12" max="12" width="2.15625" customWidth="1"/>
    <col min="13" max="13" width="29.68359375" customWidth="1"/>
    <col min="14" max="14" width="2.15625" customWidth="1"/>
    <col min="17" max="17" width="4.26171875" customWidth="1"/>
    <col min="18" max="18" width="114.26171875" customWidth="1"/>
    <col min="19" max="19" width="9.15625" style="58"/>
    <col min="20" max="20" width="13.41796875" customWidth="1"/>
    <col min="21" max="21" width="16.26171875" bestFit="1" customWidth="1"/>
  </cols>
  <sheetData>
    <row r="1" spans="2:21" ht="127.5" customHeight="1" x14ac:dyDescent="0.55000000000000004">
      <c r="B1" s="25" t="str">
        <f>Introduction!A5</f>
        <v>remarks? tony.opsomer@gmail.com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 t="str">
        <f>Introduction!E5</f>
        <v>version 2021-07-25</v>
      </c>
    </row>
    <row r="2" spans="2:21" ht="45.9" x14ac:dyDescent="1.65">
      <c r="B2" s="125" t="s">
        <v>163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191" t="s">
        <v>167</v>
      </c>
      <c r="T2" s="49" t="s">
        <v>54</v>
      </c>
    </row>
    <row r="3" spans="2:21" ht="13.5" customHeight="1" x14ac:dyDescent="1.65">
      <c r="B3" s="24"/>
      <c r="C3" s="24"/>
      <c r="D3" s="24"/>
      <c r="E3" s="24"/>
      <c r="F3" s="45"/>
      <c r="G3" s="24"/>
      <c r="H3" s="24"/>
      <c r="I3" s="24"/>
      <c r="J3" s="24"/>
      <c r="K3" s="24"/>
      <c r="L3" s="24"/>
      <c r="M3" s="24"/>
      <c r="N3" s="24"/>
      <c r="O3" s="24"/>
      <c r="P3" s="24"/>
    </row>
    <row r="4" spans="2:21" ht="14.7" thickBot="1" x14ac:dyDescent="0.6">
      <c r="B4" s="4"/>
      <c r="D4" s="44"/>
      <c r="E4" s="204"/>
      <c r="F4" s="204"/>
      <c r="G4" s="204"/>
    </row>
    <row r="5" spans="2:21" x14ac:dyDescent="0.55000000000000004">
      <c r="B5" s="4"/>
      <c r="D5" s="43"/>
      <c r="H5" s="18" t="s">
        <v>15</v>
      </c>
      <c r="I5" s="19" t="s">
        <v>2</v>
      </c>
      <c r="J5" s="19" t="s">
        <v>6</v>
      </c>
      <c r="K5" s="20" t="s">
        <v>3</v>
      </c>
      <c r="M5" s="197" t="s">
        <v>26</v>
      </c>
      <c r="N5" s="198"/>
      <c r="O5" s="198"/>
      <c r="P5" s="199"/>
    </row>
    <row r="6" spans="2:21" x14ac:dyDescent="0.55000000000000004">
      <c r="D6" t="s">
        <v>18</v>
      </c>
      <c r="H6" s="18" t="s">
        <v>14</v>
      </c>
      <c r="I6" s="19" t="s">
        <v>4</v>
      </c>
      <c r="J6" s="19" t="s">
        <v>137</v>
      </c>
      <c r="K6" s="20" t="s">
        <v>138</v>
      </c>
      <c r="M6" s="212" t="s">
        <v>27</v>
      </c>
      <c r="N6" s="213"/>
      <c r="O6" s="213"/>
      <c r="P6" s="214"/>
    </row>
    <row r="7" spans="2:21" x14ac:dyDescent="0.55000000000000004">
      <c r="B7" s="12" t="s">
        <v>17</v>
      </c>
      <c r="C7" s="13"/>
      <c r="D7" s="13"/>
      <c r="E7" s="13"/>
      <c r="F7" s="13"/>
      <c r="G7" s="13"/>
      <c r="H7" s="21"/>
      <c r="I7" s="23">
        <f>'OO-VCW'!E10</f>
        <v>761.68193569999994</v>
      </c>
      <c r="J7" s="23">
        <f>'OO-VCW'!C11</f>
        <v>38.740400000000001</v>
      </c>
      <c r="K7" s="23">
        <f>'OO-VCW'!C12</f>
        <v>65054.0743</v>
      </c>
      <c r="M7" s="51"/>
      <c r="N7" s="52"/>
      <c r="O7" s="52"/>
      <c r="P7" s="53"/>
      <c r="T7" s="204"/>
      <c r="U7" s="204"/>
    </row>
    <row r="8" spans="2:21" x14ac:dyDescent="0.55000000000000004">
      <c r="B8" s="14" t="s">
        <v>16</v>
      </c>
      <c r="C8" s="15"/>
      <c r="D8" s="15" t="s">
        <v>22</v>
      </c>
      <c r="E8" s="33">
        <v>47.81</v>
      </c>
      <c r="F8" s="223" t="s">
        <v>19</v>
      </c>
      <c r="G8" s="223"/>
      <c r="H8" s="120"/>
      <c r="I8" s="29">
        <f>H8*0.72</f>
        <v>0</v>
      </c>
      <c r="J8" s="29">
        <f>IF(E8="SELECT AIRPLANE","SELECT AIRPLANE",E8)</f>
        <v>47.81</v>
      </c>
      <c r="K8" s="31">
        <f>IF(E8="SELECT AIRPLANE","SELECT AIRPLANE",I8*2.204623*J8)</f>
        <v>0</v>
      </c>
      <c r="M8" s="50" t="str">
        <f>IF(H8="","COMPLETE THE FORM",IF(H8&gt;'OO-VCW'!E4,"FUEL TANK OVERFLOW","FUEL QUANTITY WITHIN LIMIT"))</f>
        <v>COMPLETE THE FORM</v>
      </c>
      <c r="N8" s="52"/>
      <c r="O8" s="217" t="str">
        <f>IF(OR(H8="",I9="",I10="",I11="",,I12="",I13="",I14=""),"COMPLETE THE FORM",IF(SUM(I8:I14)&gt;'OO-VCW'!E15,"TOO MUCH USEFUL LOAD",IF(SUM(I8:I14)&gt;'OO-VCW'!E16,"TOTAL USEFUL LOAD WITHIN NORMAL CATEGORY LIMIT","TOTAL USEFUL LOAD WITHIN UTILITY CATEGORY")))</f>
        <v>COMPLETE THE FORM</v>
      </c>
      <c r="P8" s="218"/>
      <c r="T8" s="108"/>
    </row>
    <row r="9" spans="2:21" x14ac:dyDescent="0.55000000000000004">
      <c r="B9" s="14" t="s">
        <v>13</v>
      </c>
      <c r="C9" s="15"/>
      <c r="D9" s="15" t="s">
        <v>22</v>
      </c>
      <c r="E9" s="116">
        <v>37</v>
      </c>
      <c r="F9" s="223" t="s">
        <v>19</v>
      </c>
      <c r="G9" s="223"/>
      <c r="H9" s="22"/>
      <c r="I9" s="119"/>
      <c r="J9" s="30">
        <f t="shared" ref="J9:J14" si="0">E9</f>
        <v>37</v>
      </c>
      <c r="K9" s="32">
        <f t="shared" ref="K9:K14" si="1">I9*2.204623*J9</f>
        <v>0</v>
      </c>
      <c r="M9" s="51"/>
      <c r="N9" s="52"/>
      <c r="O9" s="219"/>
      <c r="P9" s="220"/>
      <c r="T9" s="108"/>
      <c r="U9" s="108"/>
    </row>
    <row r="10" spans="2:21" x14ac:dyDescent="0.55000000000000004">
      <c r="B10" s="14" t="s">
        <v>12</v>
      </c>
      <c r="C10" s="15"/>
      <c r="D10" s="15" t="s">
        <v>22</v>
      </c>
      <c r="E10" s="116">
        <v>37</v>
      </c>
      <c r="F10" s="211" t="s">
        <v>19</v>
      </c>
      <c r="G10" s="211"/>
      <c r="H10" s="22"/>
      <c r="I10" s="119"/>
      <c r="J10" s="30">
        <f t="shared" si="0"/>
        <v>37</v>
      </c>
      <c r="K10" s="32">
        <f t="shared" si="1"/>
        <v>0</v>
      </c>
      <c r="M10" s="51"/>
      <c r="N10" s="52"/>
      <c r="O10" s="219"/>
      <c r="P10" s="220"/>
      <c r="T10" s="108"/>
      <c r="U10" s="108"/>
    </row>
    <row r="11" spans="2:21" x14ac:dyDescent="0.55000000000000004">
      <c r="B11" s="14" t="s">
        <v>133</v>
      </c>
      <c r="C11" s="15"/>
      <c r="D11" s="15" t="s">
        <v>22</v>
      </c>
      <c r="E11" s="172">
        <v>73</v>
      </c>
      <c r="F11" s="211" t="s">
        <v>19</v>
      </c>
      <c r="G11" s="211"/>
      <c r="H11" s="22"/>
      <c r="I11" s="119"/>
      <c r="J11" s="30">
        <f t="shared" si="0"/>
        <v>73</v>
      </c>
      <c r="K11" s="32">
        <f t="shared" si="1"/>
        <v>0</v>
      </c>
      <c r="M11" s="51"/>
      <c r="N11" s="52"/>
      <c r="O11" s="219"/>
      <c r="P11" s="220"/>
      <c r="T11" s="108"/>
      <c r="U11" s="108"/>
    </row>
    <row r="12" spans="2:21" x14ac:dyDescent="0.55000000000000004">
      <c r="B12" s="14" t="s">
        <v>134</v>
      </c>
      <c r="C12" s="15"/>
      <c r="D12" s="15" t="s">
        <v>22</v>
      </c>
      <c r="E12" s="172">
        <v>73</v>
      </c>
      <c r="F12" s="211" t="s">
        <v>19</v>
      </c>
      <c r="G12" s="211"/>
      <c r="H12" s="22"/>
      <c r="I12" s="119"/>
      <c r="J12" s="30">
        <f t="shared" si="0"/>
        <v>73</v>
      </c>
      <c r="K12" s="32">
        <f t="shared" si="1"/>
        <v>0</v>
      </c>
      <c r="M12" s="51"/>
      <c r="N12" s="52"/>
      <c r="O12" s="219"/>
      <c r="P12" s="220"/>
      <c r="T12" s="108"/>
      <c r="U12" s="108"/>
    </row>
    <row r="13" spans="2:21" x14ac:dyDescent="0.55000000000000004">
      <c r="B13" s="14" t="s">
        <v>1</v>
      </c>
      <c r="C13" s="15"/>
      <c r="D13" s="15" t="s">
        <v>22</v>
      </c>
      <c r="E13" s="116">
        <v>95</v>
      </c>
      <c r="F13" s="223" t="s">
        <v>19</v>
      </c>
      <c r="G13" s="223"/>
      <c r="H13" s="22"/>
      <c r="I13" s="119"/>
      <c r="J13" s="30">
        <f t="shared" si="0"/>
        <v>95</v>
      </c>
      <c r="K13" s="32">
        <f t="shared" si="1"/>
        <v>0</v>
      </c>
      <c r="M13" s="215" t="str">
        <f>IF(OR(I13="",I14=""),"COMPLETE THE FORM",IF(I13&gt;'OO-VCW'!E19,"TOO MUCH BAGGAGE IN AREA 1",IF(I14&gt;'OO-VCW'!E20,"TOO MUCH BAGGAGE IN AREA 2",IF(SUM(I13:I14)&gt;'OO-VCW'!E19,"TOO MUCH BAGGAGE IN AREA 1 AND 2","PARTITIONING OF BAGGAGE IN AREAS 1 AND 2 WITHIN LIMITS"))))</f>
        <v>COMPLETE THE FORM</v>
      </c>
      <c r="N13" s="52"/>
      <c r="O13" s="219"/>
      <c r="P13" s="220"/>
      <c r="T13" s="108"/>
      <c r="U13" s="108"/>
    </row>
    <row r="14" spans="2:21" x14ac:dyDescent="0.55000000000000004">
      <c r="B14" s="14" t="s">
        <v>0</v>
      </c>
      <c r="C14" s="15"/>
      <c r="D14" s="15" t="s">
        <v>22</v>
      </c>
      <c r="E14" s="116">
        <v>123</v>
      </c>
      <c r="F14" s="223" t="s">
        <v>19</v>
      </c>
      <c r="G14" s="223"/>
      <c r="H14" s="22"/>
      <c r="I14" s="119"/>
      <c r="J14" s="30">
        <f t="shared" si="0"/>
        <v>123</v>
      </c>
      <c r="K14" s="32">
        <f t="shared" si="1"/>
        <v>0</v>
      </c>
      <c r="M14" s="216"/>
      <c r="N14" s="127"/>
      <c r="O14" s="221"/>
      <c r="P14" s="222"/>
      <c r="T14" s="108"/>
      <c r="U14" s="108"/>
    </row>
    <row r="15" spans="2:21" x14ac:dyDescent="0.55000000000000004">
      <c r="B15" s="39" t="s">
        <v>20</v>
      </c>
      <c r="C15" s="40"/>
      <c r="D15" s="40"/>
      <c r="E15" s="40"/>
      <c r="F15" s="40"/>
      <c r="G15" s="40"/>
      <c r="H15" s="174" t="e">
        <f>I15*2.204623</f>
        <v>#VALUE!</v>
      </c>
      <c r="I15" s="41" t="str">
        <f>IF(OR(H8="",I9="",I10="",I11="",,I12="",I13="",I14=""),"COMPLETE THE FORM",SUM(I7:I14))</f>
        <v>COMPLETE THE FORM</v>
      </c>
      <c r="J15" s="41" t="str">
        <f>IF(I15="COMPLETE THE FORM","COMPLETE THE FORM",K15/H15)</f>
        <v>COMPLETE THE FORM</v>
      </c>
      <c r="K15" s="42" t="str">
        <f>IF(OR(H8="",I9="",I10="",I11="",,I12="",I13="",I14=""),"COMPLETE THE FORM",SUM(K7:K14))</f>
        <v>COMPLETE THE FORM</v>
      </c>
      <c r="L15" s="28"/>
      <c r="M15" s="201" t="str">
        <f>IF(I15="COMPLETE THE FORM","COMPLETE THE FORM","CHECK RESULTS IN GRAPH BELOW")</f>
        <v>COMPLETE THE FORM</v>
      </c>
      <c r="N15" s="202"/>
      <c r="O15" s="202"/>
      <c r="P15" s="203"/>
    </row>
    <row r="16" spans="2:21" s="11" customFormat="1" x14ac:dyDescent="0.55000000000000004">
      <c r="B16" s="26" t="s">
        <v>21</v>
      </c>
      <c r="C16" s="27"/>
      <c r="D16" s="27"/>
      <c r="E16" s="27"/>
      <c r="F16" s="27"/>
      <c r="G16" s="27"/>
      <c r="H16" s="118"/>
      <c r="I16" s="36">
        <f>H16*0.72</f>
        <v>0</v>
      </c>
      <c r="J16" s="37">
        <f>E8</f>
        <v>47.81</v>
      </c>
      <c r="K16" s="38">
        <f>I16*2.204623*J16</f>
        <v>0</v>
      </c>
      <c r="L16" s="28"/>
      <c r="M16" s="141"/>
      <c r="N16" s="142"/>
      <c r="O16" s="142"/>
      <c r="P16" s="143"/>
      <c r="S16" s="58"/>
      <c r="T16" s="4"/>
    </row>
    <row r="17" spans="2:24" x14ac:dyDescent="0.55000000000000004">
      <c r="B17" s="16" t="s">
        <v>82</v>
      </c>
      <c r="C17" s="17"/>
      <c r="D17" s="17"/>
      <c r="E17" s="17"/>
      <c r="F17" s="17"/>
      <c r="G17" s="17"/>
      <c r="H17" s="175" t="e">
        <f>I17*2.204623</f>
        <v>#VALUE!</v>
      </c>
      <c r="I17" s="34" t="str">
        <f>IF(OR(H8="",I9="",I10="",I11="",,I12="",I13="",I14="",H16=""),"COMPLETE THE FORM",I15-I16)</f>
        <v>COMPLETE THE FORM</v>
      </c>
      <c r="J17" s="34" t="str">
        <f>IF(I17="COMPLETE THE FORM","COMPLETE THE FORM",K17/H17)</f>
        <v>COMPLETE THE FORM</v>
      </c>
      <c r="K17" s="35" t="str">
        <f>IF(OR(H8="",I9="",I10="",I11="",,I12="",I13="",I14="",H16=""),"COMPLETE THE FORM",K15-K16)</f>
        <v>COMPLETE THE FORM</v>
      </c>
      <c r="L17" s="28"/>
      <c r="M17" s="201" t="str">
        <f>IF(I17="COMPLETE THE FORM","COMPLETE THE FORM","CHECK RESULTS IN GRAPH BELOW")</f>
        <v>COMPLETE THE FORM</v>
      </c>
      <c r="N17" s="202"/>
      <c r="O17" s="202"/>
      <c r="P17" s="203"/>
    </row>
    <row r="18" spans="2:24" s="11" customFormat="1" x14ac:dyDescent="0.55000000000000004">
      <c r="B18" s="26" t="s">
        <v>24</v>
      </c>
      <c r="C18" s="27"/>
      <c r="D18" s="46"/>
      <c r="E18" s="117"/>
      <c r="F18" s="48" t="s">
        <v>25</v>
      </c>
      <c r="H18" s="47">
        <f>(HOUR(E18)*60+MINUTE(E18))/60*'OO-VCW'!E6</f>
        <v>0</v>
      </c>
      <c r="I18" s="36">
        <f>H18*0.72</f>
        <v>0</v>
      </c>
      <c r="J18" s="37">
        <f>E8</f>
        <v>47.81</v>
      </c>
      <c r="K18" s="38">
        <f>I18*2.204623*J18</f>
        <v>0</v>
      </c>
      <c r="L18" s="28"/>
      <c r="M18" s="208" t="str">
        <f>IF(OR(H8="",I9="",I10="",I11="",,I12="",I13="",I14="",H16="",E18=""),"COMPLETE THE FORM",IF((H18+H16)&gt;H8,"NOT ENOUGH FUEL TO COMPLETE THE TRIP",IF((H18+H16)&gt;(H8-'OO-VCW'!E6/60*45),"DANGER! DANGER! FUEL RESERVE LESS THAN 45 MIN","TRIP TIME WITHIN LIMIT")))</f>
        <v>COMPLETE THE FORM</v>
      </c>
      <c r="N18" s="209"/>
      <c r="O18" s="209"/>
      <c r="P18" s="210"/>
      <c r="S18" s="58"/>
      <c r="T18" s="7"/>
      <c r="U18" s="8"/>
    </row>
    <row r="19" spans="2:24" ht="14.7" thickBot="1" x14ac:dyDescent="0.6">
      <c r="B19" s="121" t="s">
        <v>23</v>
      </c>
      <c r="C19" s="122"/>
      <c r="D19" s="122"/>
      <c r="E19" s="122"/>
      <c r="F19" s="122"/>
      <c r="G19" s="122"/>
      <c r="H19" s="176" t="e">
        <f>I19*2.204623</f>
        <v>#VALUE!</v>
      </c>
      <c r="I19" s="123" t="str">
        <f>IF(OR(H8="",I9="",I10="",I11="",,I12="",I13="",I14="",H16="",E18=""),"COMPLETE THE FORM",IF(M18="TRIP TIME TOO BIG","CHECK TRIP TIME",I17-I18))</f>
        <v>COMPLETE THE FORM</v>
      </c>
      <c r="J19" s="123" t="str">
        <f>IF(I19="COMPLETE THE FORM","COMPLETE THE FORM",IF(I19="CHECK TRIP TIME","CHECK TRIP TIME",K19/H19))</f>
        <v>COMPLETE THE FORM</v>
      </c>
      <c r="K19" s="124" t="str">
        <f>IF(OR(H8="",I9="",I10="",I11="",,I12="",I13="",I14="",H16="",E18=""),"COMPLETE THE FORM",IF(M18="TRIP TIME TOO BIG","CHECK TRIP TIME",K17-K18))</f>
        <v>COMPLETE THE FORM</v>
      </c>
      <c r="L19" s="28"/>
      <c r="M19" s="205" t="str">
        <f>IF(I19="COMPLETE THE FORM","COMPLETE THE FORM",IF(I19="CHECK TRIP TIME","","CHECK RESULTS IN GRAPH BELOW"))</f>
        <v>COMPLETE THE FORM</v>
      </c>
      <c r="N19" s="206"/>
      <c r="O19" s="206"/>
      <c r="P19" s="207"/>
      <c r="T19" s="109"/>
      <c r="U19" s="6"/>
      <c r="V19" s="131"/>
    </row>
    <row r="20" spans="2:24" x14ac:dyDescent="0.55000000000000004">
      <c r="T20" s="109"/>
      <c r="U20" s="6"/>
      <c r="V20" s="131"/>
    </row>
    <row r="21" spans="2:24" x14ac:dyDescent="0.55000000000000004">
      <c r="T21" s="109"/>
      <c r="U21" s="6"/>
      <c r="V21" s="131"/>
    </row>
    <row r="22" spans="2:24" x14ac:dyDescent="0.55000000000000004">
      <c r="T22" s="109"/>
      <c r="U22" s="6"/>
      <c r="V22" s="131"/>
    </row>
    <row r="23" spans="2:24" x14ac:dyDescent="0.55000000000000004">
      <c r="T23" s="109"/>
      <c r="U23" s="6"/>
      <c r="V23" s="131"/>
    </row>
    <row r="24" spans="2:24" x14ac:dyDescent="0.55000000000000004">
      <c r="T24" s="109"/>
    </row>
    <row r="28" spans="2:24" x14ac:dyDescent="0.55000000000000004">
      <c r="T28" s="200" t="s">
        <v>72</v>
      </c>
      <c r="U28" s="200"/>
      <c r="V28" s="200"/>
    </row>
    <row r="29" spans="2:24" x14ac:dyDescent="0.55000000000000004">
      <c r="T29" s="109"/>
      <c r="U29" s="6"/>
      <c r="W29" t="s">
        <v>74</v>
      </c>
      <c r="X29" t="s">
        <v>75</v>
      </c>
    </row>
    <row r="30" spans="2:24" x14ac:dyDescent="0.55000000000000004">
      <c r="T30" s="109" t="s">
        <v>73</v>
      </c>
      <c r="U30" s="6"/>
      <c r="W30">
        <f>TRUNC(U30/60,0)</f>
        <v>0</v>
      </c>
      <c r="X30">
        <f>ROUND((U30/60-TRUNC(U30/60))*60,0)</f>
        <v>0</v>
      </c>
    </row>
    <row r="32" spans="2:24" x14ac:dyDescent="0.55000000000000004">
      <c r="W32" t="s">
        <v>25</v>
      </c>
      <c r="X32" s="110">
        <f>TIME(W30,X30,)</f>
        <v>0</v>
      </c>
    </row>
    <row r="35" spans="2:34" x14ac:dyDescent="0.55000000000000004">
      <c r="T35" s="144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</row>
    <row r="36" spans="2:34" x14ac:dyDescent="0.55000000000000004">
      <c r="T36" s="59"/>
      <c r="U36" s="59"/>
      <c r="V36" s="59"/>
      <c r="W36" s="59"/>
      <c r="X36" s="59"/>
      <c r="Y36" s="59"/>
      <c r="Z36" s="59"/>
      <c r="AA36" s="195"/>
      <c r="AB36" s="195"/>
      <c r="AC36" s="195"/>
      <c r="AD36" s="195"/>
      <c r="AE36" s="195"/>
      <c r="AF36" s="195"/>
      <c r="AG36" s="59"/>
      <c r="AH36" s="59"/>
    </row>
    <row r="37" spans="2:34" x14ac:dyDescent="0.55000000000000004">
      <c r="T37" s="59"/>
      <c r="U37" s="59"/>
      <c r="V37" s="59"/>
      <c r="W37" s="59"/>
      <c r="X37" s="59"/>
      <c r="Y37" s="59"/>
      <c r="Z37" s="59"/>
      <c r="AA37" s="59"/>
      <c r="AB37" s="145"/>
      <c r="AC37" s="59"/>
      <c r="AD37" s="59"/>
      <c r="AE37" s="27"/>
      <c r="AF37" s="195"/>
      <c r="AG37" s="59"/>
      <c r="AH37" s="59"/>
    </row>
    <row r="38" spans="2:34" x14ac:dyDescent="0.55000000000000004">
      <c r="T38" s="59"/>
      <c r="U38" s="59"/>
      <c r="V38" s="59"/>
      <c r="W38" s="146"/>
      <c r="X38" s="59"/>
      <c r="Y38" s="146"/>
      <c r="Z38" s="59"/>
      <c r="AA38" s="59"/>
      <c r="AB38" s="145"/>
      <c r="AC38" s="59"/>
      <c r="AD38" s="59"/>
      <c r="AE38" s="59"/>
      <c r="AF38" s="59"/>
      <c r="AG38" s="59"/>
      <c r="AH38" s="59"/>
    </row>
    <row r="39" spans="2:34" x14ac:dyDescent="0.55000000000000004">
      <c r="T39" s="59"/>
      <c r="U39" s="59"/>
      <c r="V39" s="59"/>
      <c r="W39" s="146"/>
      <c r="X39" s="59"/>
      <c r="Y39" s="146"/>
      <c r="Z39" s="59"/>
      <c r="AA39" s="59"/>
      <c r="AB39" s="145"/>
      <c r="AC39" s="59"/>
      <c r="AD39" s="59"/>
      <c r="AE39" s="59"/>
      <c r="AF39" s="59"/>
      <c r="AG39" s="59"/>
      <c r="AH39" s="59"/>
    </row>
    <row r="40" spans="2:34" x14ac:dyDescent="0.55000000000000004">
      <c r="T40" s="59"/>
      <c r="U40" s="59"/>
      <c r="V40" s="59"/>
      <c r="W40" s="146"/>
      <c r="X40" s="59"/>
      <c r="Y40" s="146"/>
      <c r="Z40" s="59"/>
      <c r="AA40" s="59"/>
      <c r="AB40" s="145"/>
      <c r="AC40" s="59"/>
      <c r="AD40" s="59"/>
      <c r="AE40" s="59"/>
      <c r="AF40" s="59"/>
      <c r="AG40" s="59"/>
      <c r="AH40" s="59"/>
    </row>
    <row r="41" spans="2:34" x14ac:dyDescent="0.55000000000000004"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</row>
    <row r="42" spans="2:34" x14ac:dyDescent="0.55000000000000004">
      <c r="T42" s="59"/>
      <c r="U42" s="59"/>
      <c r="V42" s="59"/>
      <c r="W42" s="59"/>
      <c r="X42" s="59"/>
      <c r="Y42" s="147"/>
      <c r="Z42" s="59"/>
      <c r="AA42" s="59"/>
      <c r="AB42" s="59"/>
      <c r="AC42" s="59"/>
      <c r="AD42" s="59"/>
      <c r="AE42" s="59"/>
      <c r="AF42" s="59"/>
      <c r="AG42" s="59"/>
      <c r="AH42" s="59"/>
    </row>
    <row r="43" spans="2:34" x14ac:dyDescent="0.55000000000000004"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</row>
    <row r="44" spans="2:34" x14ac:dyDescent="0.55000000000000004">
      <c r="T44" s="59"/>
      <c r="U44" s="59"/>
      <c r="V44" s="59"/>
      <c r="W44" s="146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</row>
    <row r="45" spans="2:34" x14ac:dyDescent="0.55000000000000004">
      <c r="T45" s="59"/>
      <c r="U45" s="59"/>
      <c r="V45" s="59"/>
      <c r="W45" s="146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</row>
    <row r="46" spans="2:34" x14ac:dyDescent="0.55000000000000004">
      <c r="T46" s="59"/>
      <c r="U46" s="59"/>
      <c r="V46" s="59"/>
      <c r="W46" s="146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</row>
    <row r="47" spans="2:34" x14ac:dyDescent="0.55000000000000004">
      <c r="T47" s="59"/>
      <c r="U47" s="59"/>
      <c r="V47" s="59"/>
      <c r="W47" s="146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</row>
    <row r="48" spans="2:34" ht="15" customHeight="1" x14ac:dyDescent="0.55000000000000004">
      <c r="B48" s="196" t="s">
        <v>77</v>
      </c>
      <c r="C48" s="196"/>
      <c r="D48" s="196"/>
      <c r="E48" s="196"/>
      <c r="F48" s="196"/>
      <c r="G48" s="196"/>
      <c r="H48" s="196"/>
      <c r="I48" s="196"/>
      <c r="J48" s="196"/>
      <c r="K48" s="196"/>
      <c r="L48" s="196"/>
      <c r="M48" s="196"/>
      <c r="N48" s="196"/>
      <c r="O48" s="196"/>
      <c r="P48" s="196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</row>
    <row r="49" spans="2:34" x14ac:dyDescent="0.55000000000000004"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</row>
  </sheetData>
  <sheetProtection sheet="1" selectLockedCells="1"/>
  <mergeCells count="22">
    <mergeCell ref="E4:G4"/>
    <mergeCell ref="M6:P6"/>
    <mergeCell ref="M13:M14"/>
    <mergeCell ref="O8:P14"/>
    <mergeCell ref="F13:G13"/>
    <mergeCell ref="F14:G14"/>
    <mergeCell ref="F10:G10"/>
    <mergeCell ref="F9:G9"/>
    <mergeCell ref="F8:G8"/>
    <mergeCell ref="F11:G11"/>
    <mergeCell ref="AA36:AC36"/>
    <mergeCell ref="AD36:AE36"/>
    <mergeCell ref="AF36:AF37"/>
    <mergeCell ref="B48:P48"/>
    <mergeCell ref="M5:P5"/>
    <mergeCell ref="T28:V28"/>
    <mergeCell ref="M15:P15"/>
    <mergeCell ref="M17:P17"/>
    <mergeCell ref="T7:U7"/>
    <mergeCell ref="M19:P19"/>
    <mergeCell ref="M18:P18"/>
    <mergeCell ref="F12:G12"/>
  </mergeCells>
  <printOptions horizontalCentered="1" verticalCentered="1"/>
  <pageMargins left="0.39370078740157483" right="0.39370078740157483" top="0.19685039370078741" bottom="0.19685039370078741" header="0.19685039370078741" footer="0.19685039370078741"/>
  <pageSetup paperSize="9" scale="6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3" r:id="rId4" name="Schuifbalk 9">
              <controlPr locked="0" defaultSize="0" autoPict="0">
                <anchor moveWithCells="1">
                  <from>
                    <xdr:col>6</xdr:col>
                    <xdr:colOff>228600</xdr:colOff>
                    <xdr:row>8</xdr:row>
                    <xdr:rowOff>11430</xdr:rowOff>
                  </from>
                  <to>
                    <xdr:col>6</xdr:col>
                    <xdr:colOff>1352550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5" name="Schuifbalk 10">
              <controlPr locked="0" defaultSize="0" autoPict="0">
                <anchor moveWithCells="1">
                  <from>
                    <xdr:col>6</xdr:col>
                    <xdr:colOff>228600</xdr:colOff>
                    <xdr:row>9</xdr:row>
                    <xdr:rowOff>11430</xdr:rowOff>
                  </from>
                  <to>
                    <xdr:col>6</xdr:col>
                    <xdr:colOff>1352550</xdr:colOff>
                    <xdr:row>9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6" name="Schuifbalk 11">
              <controlPr locked="0" defaultSize="0" autoPict="0">
                <anchor moveWithCells="1">
                  <from>
                    <xdr:col>6</xdr:col>
                    <xdr:colOff>228600</xdr:colOff>
                    <xdr:row>12</xdr:row>
                    <xdr:rowOff>11430</xdr:rowOff>
                  </from>
                  <to>
                    <xdr:col>6</xdr:col>
                    <xdr:colOff>1352550</xdr:colOff>
                    <xdr:row>12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7" name="Schuifbalk 12">
              <controlPr locked="0" defaultSize="0" autoPict="0">
                <anchor moveWithCells="1">
                  <from>
                    <xdr:col>6</xdr:col>
                    <xdr:colOff>228600</xdr:colOff>
                    <xdr:row>13</xdr:row>
                    <xdr:rowOff>11430</xdr:rowOff>
                  </from>
                  <to>
                    <xdr:col>6</xdr:col>
                    <xdr:colOff>1352550</xdr:colOff>
                    <xdr:row>13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8" name="Knop 17">
              <controlPr defaultSize="0" print="0" autoFill="0" autoPict="0" macro="[0]!Knop149_Klikken">
                <anchor moveWithCells="1">
                  <from>
                    <xdr:col>6</xdr:col>
                    <xdr:colOff>304800</xdr:colOff>
                    <xdr:row>4</xdr:row>
                    <xdr:rowOff>19050</xdr:rowOff>
                  </from>
                  <to>
                    <xdr:col>6</xdr:col>
                    <xdr:colOff>876300</xdr:colOff>
                    <xdr:row>5</xdr:row>
                    <xdr:rowOff>87630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5">
    <tabColor rgb="FF002060"/>
    <pageSetUpPr fitToPage="1"/>
  </sheetPr>
  <dimension ref="B1:Y110"/>
  <sheetViews>
    <sheetView zoomScaleNormal="100" workbookViewId="0">
      <selection activeCell="E6" sqref="E6"/>
    </sheetView>
  </sheetViews>
  <sheetFormatPr defaultRowHeight="14.4" x14ac:dyDescent="0.55000000000000004"/>
  <cols>
    <col min="1" max="1" width="4.15625" customWidth="1"/>
    <col min="2" max="2" width="3.41796875" customWidth="1"/>
    <col min="3" max="3" width="16.15625" customWidth="1"/>
    <col min="4" max="4" width="27" customWidth="1"/>
    <col min="5" max="5" width="20" bestFit="1" customWidth="1"/>
    <col min="6" max="6" width="2.15625" customWidth="1"/>
    <col min="7" max="7" width="23" customWidth="1"/>
    <col min="8" max="8" width="2.578125" customWidth="1"/>
    <col min="9" max="9" width="22" customWidth="1"/>
    <col min="10" max="10" width="4.578125" customWidth="1"/>
    <col min="11" max="11" width="109" customWidth="1"/>
    <col min="12" max="12" width="4.578125" style="58" customWidth="1"/>
    <col min="13" max="13" width="17.578125" customWidth="1"/>
    <col min="14" max="15" width="10.83984375" bestFit="1" customWidth="1"/>
    <col min="16" max="16" width="35.41796875" customWidth="1"/>
    <col min="17" max="17" width="10.83984375" bestFit="1" customWidth="1"/>
    <col min="18" max="18" width="24.68359375" bestFit="1" customWidth="1"/>
    <col min="19" max="19" width="13.26171875" bestFit="1" customWidth="1"/>
    <col min="20" max="20" width="12.83984375" bestFit="1" customWidth="1"/>
    <col min="25" max="25" width="5.41796875" bestFit="1" customWidth="1"/>
  </cols>
  <sheetData>
    <row r="1" spans="2:19" ht="127.5" customHeight="1" x14ac:dyDescent="0.55000000000000004">
      <c r="C1" s="25" t="str">
        <f>Introduction!A5</f>
        <v>remarks? tony.opsomer@gmail.com</v>
      </c>
      <c r="D1" s="25"/>
      <c r="E1" s="25"/>
      <c r="F1" s="25"/>
      <c r="G1" s="25"/>
      <c r="H1" s="25"/>
      <c r="I1" s="105" t="str">
        <f>Introduction!E5</f>
        <v>version 2021-07-25</v>
      </c>
    </row>
    <row r="2" spans="2:19" ht="46.2" thickBot="1" x14ac:dyDescent="1.7">
      <c r="C2" s="125" t="s">
        <v>162</v>
      </c>
      <c r="D2" s="49"/>
      <c r="E2" s="49"/>
      <c r="F2" s="49"/>
      <c r="G2" s="49"/>
      <c r="H2" s="49"/>
      <c r="I2" s="191" t="s">
        <v>167</v>
      </c>
      <c r="M2" s="62" t="s">
        <v>54</v>
      </c>
    </row>
    <row r="3" spans="2:19" x14ac:dyDescent="0.55000000000000004">
      <c r="C3" s="4"/>
      <c r="E3" s="63"/>
      <c r="F3" s="64"/>
      <c r="G3" s="226" t="s">
        <v>26</v>
      </c>
      <c r="H3" s="227"/>
      <c r="I3" s="228"/>
      <c r="J3" s="63"/>
      <c r="K3" s="63"/>
      <c r="L3" s="65"/>
      <c r="M3" s="66"/>
      <c r="N3" s="66"/>
      <c r="O3" s="240"/>
      <c r="P3" s="195"/>
      <c r="Q3" s="63"/>
      <c r="R3" s="63"/>
      <c r="S3" s="63"/>
    </row>
    <row r="4" spans="2:19" x14ac:dyDescent="0.55000000000000004">
      <c r="D4" s="55"/>
      <c r="E4" s="181"/>
      <c r="F4" s="64"/>
      <c r="G4" s="229" t="s">
        <v>27</v>
      </c>
      <c r="H4" s="230"/>
      <c r="I4" s="231"/>
      <c r="J4" s="63"/>
      <c r="K4" s="63"/>
      <c r="L4" s="65"/>
      <c r="M4" s="66"/>
      <c r="N4" s="66"/>
      <c r="O4" s="183"/>
      <c r="P4" s="59"/>
      <c r="Q4" s="63"/>
      <c r="R4" s="63"/>
      <c r="S4" s="63"/>
    </row>
    <row r="5" spans="2:19" x14ac:dyDescent="0.55000000000000004">
      <c r="B5" s="238" t="s">
        <v>81</v>
      </c>
      <c r="C5" s="14" t="s">
        <v>85</v>
      </c>
      <c r="D5" s="55"/>
      <c r="E5" s="73" t="str">
        <f>IF(ISERROR('W&amp;B FORM'!I17*2.204623),"FIRST CALCULATE W&amp;B",'W&amp;B FORM'!I17)</f>
        <v>FIRST CALCULATE W&amp;B</v>
      </c>
      <c r="F5" s="64"/>
      <c r="G5" s="232" t="str">
        <f>IF(E5="FIRST CALCULATE W&amp;B","FIRST CALCULATE W&amp;B DATA","")</f>
        <v>FIRST CALCULATE W&amp;B DATA</v>
      </c>
      <c r="H5" s="233"/>
      <c r="I5" s="234"/>
      <c r="J5" s="63"/>
      <c r="K5" s="63"/>
      <c r="L5" s="65"/>
      <c r="M5" s="66"/>
      <c r="N5" s="66"/>
      <c r="O5" s="184"/>
      <c r="P5" s="132"/>
      <c r="Q5" s="63"/>
      <c r="R5" s="63"/>
      <c r="S5" s="63"/>
    </row>
    <row r="6" spans="2:19" ht="15" customHeight="1" x14ac:dyDescent="0.55000000000000004">
      <c r="B6" s="238"/>
      <c r="C6" s="12" t="s">
        <v>39</v>
      </c>
      <c r="E6" s="112"/>
      <c r="F6" s="64"/>
      <c r="G6" s="67"/>
      <c r="H6" s="68"/>
      <c r="I6" s="69"/>
      <c r="J6" s="63"/>
      <c r="K6" s="63"/>
      <c r="L6" s="65"/>
      <c r="M6" s="66"/>
      <c r="N6" s="70"/>
      <c r="O6" s="184"/>
      <c r="P6" s="132"/>
      <c r="Q6" s="63"/>
      <c r="R6" s="63"/>
      <c r="S6" s="63"/>
    </row>
    <row r="7" spans="2:19" x14ac:dyDescent="0.55000000000000004">
      <c r="B7" s="238"/>
      <c r="C7" s="54" t="s">
        <v>28</v>
      </c>
      <c r="D7" s="57"/>
      <c r="E7" s="112"/>
      <c r="F7" s="64"/>
      <c r="G7" s="232" t="str">
        <f>IF(E7="","COMPLETE THE FORM","AIRPORT ALTITUDE OK")</f>
        <v>COMPLETE THE FORM</v>
      </c>
      <c r="H7" s="233"/>
      <c r="I7" s="234"/>
      <c r="J7" s="63"/>
      <c r="K7" s="63"/>
      <c r="L7" s="65"/>
      <c r="M7" s="66"/>
      <c r="N7" s="66"/>
      <c r="O7" s="184"/>
      <c r="P7" s="132"/>
      <c r="Q7" s="63"/>
      <c r="R7" s="63"/>
      <c r="S7" s="63"/>
    </row>
    <row r="8" spans="2:19" x14ac:dyDescent="0.55000000000000004">
      <c r="B8" s="238"/>
      <c r="C8" s="56" t="s">
        <v>41</v>
      </c>
      <c r="D8" s="57"/>
      <c r="E8" s="113"/>
      <c r="F8" s="64"/>
      <c r="G8" s="232" t="str">
        <f>IF(E8="","COMPLETE THE FORM",IF(OR(E8&lt;960,E8&gt;1100),"INVALID QNH","QNH OK"))</f>
        <v>COMPLETE THE FORM</v>
      </c>
      <c r="H8" s="233"/>
      <c r="I8" s="234"/>
      <c r="J8" s="63"/>
      <c r="K8" s="63"/>
      <c r="L8" s="65"/>
      <c r="M8" s="95"/>
      <c r="N8" s="66"/>
      <c r="O8" s="184"/>
      <c r="P8" s="132"/>
      <c r="Q8" s="63"/>
      <c r="R8" s="63"/>
      <c r="S8" s="63"/>
    </row>
    <row r="9" spans="2:19" x14ac:dyDescent="0.55000000000000004">
      <c r="B9" s="238"/>
      <c r="C9" s="56" t="s">
        <v>34</v>
      </c>
      <c r="D9" s="57"/>
      <c r="E9" s="73" t="str">
        <f>IF(OR(E7="",E8=""),"COMPLETE THE FORM",IF(E8&gt;1013,(E7-(E8-1013)*30),(E7+(1013-E8)*30)))</f>
        <v>COMPLETE THE FORM</v>
      </c>
      <c r="F9" s="64"/>
      <c r="G9" s="232" t="str">
        <f>IF(OR(E9="",E9="COMPLETE THE FORM"),"COMPLETE THE FORM",IF(E9&gt;3000,"LEANING OF MIXTURE IS RECOMMENDED","LEANING OF MIXTURE NOT RECOMMENDED"))</f>
        <v>COMPLETE THE FORM</v>
      </c>
      <c r="H9" s="233"/>
      <c r="I9" s="234"/>
      <c r="J9" s="63"/>
      <c r="K9" s="63"/>
      <c r="L9" s="65"/>
      <c r="M9" s="66"/>
      <c r="N9" s="66"/>
      <c r="O9" s="184"/>
      <c r="P9" s="133"/>
      <c r="Q9" s="63"/>
      <c r="R9" s="63"/>
      <c r="S9" s="63"/>
    </row>
    <row r="10" spans="2:19" x14ac:dyDescent="0.55000000000000004">
      <c r="B10" s="238"/>
      <c r="C10" s="56" t="s">
        <v>40</v>
      </c>
      <c r="D10" s="57"/>
      <c r="E10" s="113"/>
      <c r="F10" s="64"/>
      <c r="G10" s="232" t="str">
        <f>IF(E10="","COMPLETE THE FORM",IF(E10&gt;=40,"TEMPERATURE TOO HIGH","TEMPERATURE OK"))</f>
        <v>COMPLETE THE FORM</v>
      </c>
      <c r="H10" s="233"/>
      <c r="I10" s="234"/>
      <c r="J10" s="63"/>
      <c r="K10" s="63"/>
      <c r="L10" s="65"/>
      <c r="M10" s="72" t="s">
        <v>55</v>
      </c>
      <c r="N10" s="66"/>
      <c r="O10" s="184"/>
      <c r="P10" s="132"/>
      <c r="Q10" s="63"/>
      <c r="R10" s="63"/>
      <c r="S10" s="63"/>
    </row>
    <row r="11" spans="2:19" x14ac:dyDescent="0.55000000000000004">
      <c r="B11" s="238"/>
      <c r="C11" s="56" t="s">
        <v>35</v>
      </c>
      <c r="D11" s="57"/>
      <c r="E11" s="73" t="str">
        <f>IF(OR(E8="",E7="",E10=""),"COMPLETE THE FORM",E9+120*(E10-(15-(1.98/1000*E9))))</f>
        <v>COMPLETE THE FORM</v>
      </c>
      <c r="F11" s="64"/>
      <c r="G11" s="67"/>
      <c r="H11" s="68"/>
      <c r="I11" s="71"/>
      <c r="J11" s="63"/>
      <c r="K11" s="63"/>
      <c r="L11" s="65"/>
      <c r="M11" s="66" t="s">
        <v>53</v>
      </c>
      <c r="N11" s="66"/>
      <c r="O11" s="184"/>
      <c r="P11" s="132"/>
      <c r="Q11" s="63"/>
      <c r="R11" s="63"/>
      <c r="S11" s="63"/>
    </row>
    <row r="12" spans="2:19" x14ac:dyDescent="0.55000000000000004">
      <c r="B12" s="238"/>
      <c r="C12" s="56" t="s">
        <v>31</v>
      </c>
      <c r="D12" s="57"/>
      <c r="E12" s="103"/>
      <c r="F12" s="64"/>
      <c r="G12" s="67"/>
      <c r="H12" s="68"/>
      <c r="I12" s="71"/>
      <c r="J12" s="63"/>
      <c r="K12" s="63"/>
      <c r="L12" s="65"/>
      <c r="M12" s="66" t="s">
        <v>44</v>
      </c>
      <c r="N12" s="66"/>
      <c r="O12" s="184"/>
      <c r="P12" s="132"/>
      <c r="Q12" s="63"/>
      <c r="R12" s="63"/>
      <c r="S12" s="63"/>
    </row>
    <row r="13" spans="2:19" x14ac:dyDescent="0.55000000000000004">
      <c r="B13" s="238"/>
      <c r="C13" s="56"/>
      <c r="D13" s="57" t="s">
        <v>33</v>
      </c>
      <c r="E13" s="113"/>
      <c r="F13" s="64"/>
      <c r="G13" s="91" t="str">
        <f>IF(E13="","COMPLETE THE FORM",IF(OR(E13&lt;0,E13&gt;359),"INVALID WIND DIRECTION","WIND DIRECTION OK"))</f>
        <v>COMPLETE THE FORM</v>
      </c>
      <c r="H13" s="68"/>
      <c r="I13" s="247" t="str">
        <f>IF(OR(E13="",E14="",E16=""),"COMPLETE THE FORM",IF(E14&lt;0,"CHECK WIND VELOCITY",IF(ABS(O17)&gt;=15,"CROSSWIND TOO STRONG",IF(R16="USE OTHER RUNWAY DIRECTION","TOO MUCH TAILWIND, USE OTHER RUNWAY DIRECTION",ROUND(ABS(O16),1)&amp;"kts "&amp;P16&amp;" AND " &amp; ROUND(ABS(O17),1)&amp;"kts "&amp;P17))))</f>
        <v>COMPLETE THE FORM</v>
      </c>
      <c r="J13" s="63"/>
      <c r="K13" s="63"/>
      <c r="L13" s="65"/>
      <c r="M13" s="66" t="s">
        <v>43</v>
      </c>
      <c r="N13" s="66"/>
      <c r="Q13" s="63"/>
      <c r="R13" s="63"/>
      <c r="S13" s="63"/>
    </row>
    <row r="14" spans="2:19" x14ac:dyDescent="0.55000000000000004">
      <c r="B14" s="238"/>
      <c r="C14" s="56"/>
      <c r="D14" s="57" t="s">
        <v>32</v>
      </c>
      <c r="E14" s="113"/>
      <c r="F14" s="64"/>
      <c r="G14" s="92" t="str">
        <f>IF(E14="","COMPLETE THE FORM",IF(E14&lt;0,"INVALID WIND VELOCITY","WIND VELOCITY OK"))</f>
        <v>COMPLETE THE FORM</v>
      </c>
      <c r="H14" s="68"/>
      <c r="I14" s="248"/>
      <c r="J14" s="63"/>
      <c r="K14" s="63"/>
      <c r="L14" s="65"/>
      <c r="M14" s="63"/>
      <c r="N14" s="66"/>
      <c r="O14" s="66"/>
      <c r="P14" s="63"/>
      <c r="Q14" s="63"/>
      <c r="R14" s="63"/>
      <c r="S14" s="63"/>
    </row>
    <row r="15" spans="2:19" x14ac:dyDescent="0.55000000000000004">
      <c r="B15" s="238"/>
      <c r="C15" s="56" t="s">
        <v>29</v>
      </c>
      <c r="D15" s="57"/>
      <c r="E15" s="103"/>
      <c r="F15" s="64"/>
      <c r="G15" s="67"/>
      <c r="H15" s="68"/>
      <c r="I15" s="248"/>
      <c r="J15" s="63"/>
      <c r="K15" s="63"/>
      <c r="L15" s="65"/>
      <c r="M15" s="72" t="s">
        <v>62</v>
      </c>
      <c r="N15" s="66"/>
      <c r="O15" s="66"/>
      <c r="P15" s="63"/>
      <c r="Q15" s="63"/>
      <c r="R15" s="75" t="s">
        <v>56</v>
      </c>
      <c r="S15" s="63"/>
    </row>
    <row r="16" spans="2:19" x14ac:dyDescent="0.55000000000000004">
      <c r="B16" s="238"/>
      <c r="C16" s="56"/>
      <c r="D16" s="57" t="s">
        <v>29</v>
      </c>
      <c r="E16" s="114"/>
      <c r="F16" s="64"/>
      <c r="G16" s="92" t="str">
        <f>IF(E16="","COMPLETE THE FORM",IF(OR(E16&lt;0,E16&gt;35),"INVALID QFU","QFU OK"))</f>
        <v>COMPLETE THE FORM</v>
      </c>
      <c r="H16" s="68"/>
      <c r="I16" s="249"/>
      <c r="J16" s="63"/>
      <c r="K16" s="63"/>
      <c r="L16" s="65"/>
      <c r="M16" s="93" t="s">
        <v>67</v>
      </c>
      <c r="N16" s="93"/>
      <c r="O16" s="94">
        <f>E14*COS((ABS((E16*10)-E13)*PI()/180))</f>
        <v>0</v>
      </c>
      <c r="P16" s="63" t="str">
        <f>IF(O16&gt;=0,"HEADWIND",IF(O16&lt;0,"TAILWIND",""))</f>
        <v>HEADWIND</v>
      </c>
      <c r="Q16" s="63"/>
      <c r="R16" s="96">
        <f>IF(O16&gt;=0,O16/9*-0.1,IF(AND(O16&lt;0,O16&gt;=-10),ABS(O16/2*0.1),"USE OTHER RUNWAY DIRECTION"))</f>
        <v>0</v>
      </c>
      <c r="S16" s="63"/>
    </row>
    <row r="17" spans="2:25" x14ac:dyDescent="0.55000000000000004">
      <c r="B17" s="238"/>
      <c r="C17" s="56"/>
      <c r="D17" s="57" t="s">
        <v>30</v>
      </c>
      <c r="E17" s="107">
        <v>1</v>
      </c>
      <c r="F17" s="64"/>
      <c r="G17" s="126" t="str">
        <f>IF(E17="","",IF(E17=1,"DEFINE TYPE",IF(E17=2,"PAVED",IF(E17=3,"GRASS"))))</f>
        <v>DEFINE TYPE</v>
      </c>
      <c r="H17" s="68"/>
      <c r="I17" s="71"/>
      <c r="J17" s="63"/>
      <c r="K17" s="63"/>
      <c r="L17" s="65"/>
      <c r="M17" s="93" t="s">
        <v>68</v>
      </c>
      <c r="N17" s="93"/>
      <c r="O17" s="94">
        <f>E14*SIN((ABS((E16*10)-E13)*PI()/180))</f>
        <v>0</v>
      </c>
      <c r="P17" s="63" t="s">
        <v>76</v>
      </c>
      <c r="Q17" s="63"/>
      <c r="R17" s="63"/>
      <c r="S17" s="63"/>
    </row>
    <row r="18" spans="2:25" x14ac:dyDescent="0.55000000000000004">
      <c r="B18" s="238"/>
      <c r="C18" s="56"/>
      <c r="D18" s="57" t="s">
        <v>90</v>
      </c>
      <c r="E18" s="113"/>
      <c r="F18" s="64"/>
      <c r="G18" s="244" t="str">
        <f>IF(E18="","COMPLETE THE FORM",IF(E18&lt;0,"INVALID RUNWAY LENGTH VALUE","RUNWAY LENGTH VALUE OK"))</f>
        <v>COMPLETE THE FORM</v>
      </c>
      <c r="H18" s="245"/>
      <c r="I18" s="246"/>
      <c r="J18" s="63"/>
      <c r="K18" s="63"/>
      <c r="L18" s="65"/>
      <c r="M18" s="63"/>
      <c r="N18" s="63"/>
      <c r="O18" s="63"/>
      <c r="P18" s="63"/>
      <c r="Q18" s="63"/>
      <c r="R18" s="63"/>
      <c r="S18" s="63"/>
    </row>
    <row r="19" spans="2:25" x14ac:dyDescent="0.55000000000000004">
      <c r="B19" s="238"/>
      <c r="C19" s="56" t="s">
        <v>58</v>
      </c>
      <c r="D19" s="57"/>
      <c r="E19" s="115"/>
      <c r="F19" s="64"/>
      <c r="G19" s="241"/>
      <c r="H19" s="242"/>
      <c r="I19" s="243"/>
      <c r="J19" s="63"/>
      <c r="K19" s="63"/>
      <c r="L19" s="65"/>
      <c r="M19" s="75" t="s">
        <v>145</v>
      </c>
      <c r="N19" s="63"/>
      <c r="O19" s="63"/>
      <c r="P19" s="63"/>
      <c r="Q19" s="63"/>
      <c r="R19" s="63"/>
      <c r="S19" s="63"/>
    </row>
    <row r="20" spans="2:25" x14ac:dyDescent="0.55000000000000004">
      <c r="B20" s="238"/>
      <c r="C20" s="56" t="s">
        <v>164</v>
      </c>
      <c r="D20" s="57"/>
      <c r="E20" s="103"/>
      <c r="F20" s="74"/>
      <c r="G20" s="102"/>
      <c r="H20" s="77"/>
      <c r="I20" s="78"/>
      <c r="J20" s="63"/>
      <c r="K20" s="63"/>
      <c r="L20" s="65"/>
      <c r="M20" t="s">
        <v>147</v>
      </c>
      <c r="N20" s="179" t="str">
        <f>IF(OR(E5="",E5=0,E5="FIRST CALCULATE W&amp;B"),"",E5*2.204623)</f>
        <v/>
      </c>
      <c r="O20" s="66" t="s">
        <v>115</v>
      </c>
      <c r="P20" s="180" t="s">
        <v>148</v>
      </c>
      <c r="Q20" s="63"/>
      <c r="R20" s="63"/>
      <c r="S20" s="63"/>
      <c r="T20" t="str">
        <f>IF(N20&lt;=2450,2450,IF(N20&gt;2450,"OVERWEIGHT"))</f>
        <v>OVERWEIGHT</v>
      </c>
      <c r="U20" t="s">
        <v>115</v>
      </c>
      <c r="W20" t="s">
        <v>150</v>
      </c>
    </row>
    <row r="21" spans="2:25" x14ac:dyDescent="0.55000000000000004">
      <c r="B21" s="238"/>
      <c r="C21" s="56"/>
      <c r="D21" s="57" t="s">
        <v>42</v>
      </c>
      <c r="E21" s="182" t="str">
        <f>IF(ISERROR(Y21),"COMPLETE THE FORM",Y21)</f>
        <v>COMPLETE THE FORM</v>
      </c>
      <c r="F21" s="74"/>
      <c r="G21" s="76"/>
      <c r="H21" s="77"/>
      <c r="I21" s="78"/>
      <c r="J21" s="63"/>
      <c r="K21" s="63"/>
      <c r="L21" s="65"/>
      <c r="Q21" s="63"/>
      <c r="R21" s="63"/>
      <c r="S21" s="63"/>
      <c r="X21" t="s">
        <v>152</v>
      </c>
      <c r="Y21" t="e">
        <f>VLOOKUP($T$20,'C172 Performance specs'!B7:D15,2,FALSE)</f>
        <v>#N/A</v>
      </c>
    </row>
    <row r="22" spans="2:25" x14ac:dyDescent="0.55000000000000004">
      <c r="B22" s="238"/>
      <c r="C22" s="56"/>
      <c r="D22" s="57" t="s">
        <v>143</v>
      </c>
      <c r="E22" s="182" t="str">
        <f>IF(ISERROR(Y22),"COMPLETE THE FORM",Y22)</f>
        <v>COMPLETE THE FORM</v>
      </c>
      <c r="F22" s="74"/>
      <c r="G22" s="76"/>
      <c r="H22" s="77"/>
      <c r="I22" s="78"/>
      <c r="J22" s="63"/>
      <c r="K22" s="63"/>
      <c r="L22" s="65"/>
      <c r="M22" s="79" t="s">
        <v>66</v>
      </c>
      <c r="N22" s="79"/>
      <c r="O22" s="63"/>
      <c r="P22" s="63" t="s">
        <v>71</v>
      </c>
      <c r="Q22" s="63"/>
      <c r="R22" s="63"/>
      <c r="S22" s="63"/>
      <c r="X22" t="s">
        <v>151</v>
      </c>
      <c r="Y22" t="e">
        <f>VLOOKUP($T$20,'C172 Performance specs'!B7:D15,3,FALSE)</f>
        <v>#N/A</v>
      </c>
    </row>
    <row r="23" spans="2:25" s="11" customFormat="1" x14ac:dyDescent="0.55000000000000004">
      <c r="B23" s="238"/>
      <c r="C23" s="56"/>
      <c r="D23" s="57" t="s">
        <v>36</v>
      </c>
      <c r="E23" s="73" t="str">
        <f>IF(E9="COMPLETE THE FORM","COMPLETE THE FORM",IF(R16="USE OTHER RUNWAY DIRECTION","CHANGE RUNWAY",IF(OR(E9&gt;=8000,E10&gt;=40),"NO DATA AVAILABLE",IF(G17="PAVED",((1+R16)*P79*(1+H17))*0.3048,IF(G17="GRASS",(((1+R16)*P79+(0.15*P79))*(1+E19))*0.3048,"COMPLETE THE FORM")))))</f>
        <v>COMPLETE THE FORM</v>
      </c>
      <c r="F23" s="74"/>
      <c r="G23" s="250"/>
      <c r="H23" s="251"/>
      <c r="I23" s="252"/>
      <c r="J23" s="43"/>
      <c r="K23" s="43"/>
      <c r="L23" s="65"/>
      <c r="M23" s="63" t="e">
        <f>IF(E9&lt;=0,0,LEFT(E9/1000,1)*1000)</f>
        <v>#VALUE!</v>
      </c>
      <c r="N23" s="63" t="e">
        <f>IF(E9&lt;=0,0,LEFT(E9/1000+1,1)*1000)</f>
        <v>#VALUE!</v>
      </c>
      <c r="O23" s="63"/>
      <c r="P23" s="80" t="str">
        <f>E9</f>
        <v>COMPLETE THE FORM</v>
      </c>
      <c r="Q23" s="43"/>
      <c r="S23" s="43"/>
    </row>
    <row r="24" spans="2:25" ht="14.7" thickBot="1" x14ac:dyDescent="0.6">
      <c r="B24" s="239"/>
      <c r="C24" s="98"/>
      <c r="D24" s="99" t="s">
        <v>57</v>
      </c>
      <c r="E24" s="100" t="str">
        <f>IF(E9="COMPLETE THE FORM","COMPLETE THE FORM",IF(R16="USE OTHER RUNWAY DIRECTION","CHANGE RUNWAY",IF(OR(E9&gt;=8000,E10&gt;=40),"NO DATA AVAILABLE",IF(G17="PAVED",((1+R16)*Q79*(1+H17))*0.3048,IF(G17="GRASS",(((1+R16)*Q79+(0.15*Q79))*(1+E19))*0.3048,"COMPLETE THE FORM")))))</f>
        <v>COMPLETE THE FORM</v>
      </c>
      <c r="F24" s="130"/>
      <c r="G24" s="253" t="str">
        <f>IF(E9="COMPLETE THE FORM","COMPLETE THE FORM",IF(OR(E9&gt;=8000,E10&gt;=40),"NO DATA AVAILABLE, CHECK P.A. / TEMP",IF(G16="DEFINE TYPE","DEFINE TYPE OF RUNWAY",IF(E18="","COMPLETE THE FORM",IF(E24="CHANGE RUNWAY","TOO MUCH TAILWIND, USE OTHER RUNWAY DIRECTION",IF(E24&gt;E18,"RUNWAY TOO SHORT",IF(E24&lt;=E18,"RUNWAY LENGTH SUFFICIENT")))))))</f>
        <v>COMPLETE THE FORM</v>
      </c>
      <c r="H24" s="254"/>
      <c r="I24" s="255"/>
      <c r="J24" s="63"/>
      <c r="K24" s="63"/>
      <c r="L24" s="65"/>
      <c r="M24" s="63" t="s">
        <v>69</v>
      </c>
      <c r="N24" s="63"/>
      <c r="O24" s="63"/>
      <c r="P24" s="63" t="s">
        <v>70</v>
      </c>
      <c r="Q24" s="63"/>
      <c r="R24" s="63"/>
      <c r="S24" s="63"/>
    </row>
    <row r="25" spans="2:25" ht="14.7" thickTop="1" x14ac:dyDescent="0.55000000000000004">
      <c r="B25" s="266" t="s">
        <v>59</v>
      </c>
      <c r="C25" s="101" t="s">
        <v>86</v>
      </c>
      <c r="D25" s="97"/>
      <c r="E25" s="148" t="str">
        <f>IF(ISERROR('W&amp;B FORM'!I19*2.204623),"FIRST CALCULATE W&amp;B",'W&amp;B FORM'!I19)</f>
        <v>FIRST CALCULATE W&amp;B</v>
      </c>
      <c r="F25" s="59"/>
      <c r="G25" s="268" t="str">
        <f>IF(E25="FIRST CALCULATE W&amp;B","FIRST CALCULATE W&amp;B DATA","")</f>
        <v>FIRST CALCULATE W&amp;B DATA</v>
      </c>
      <c r="H25" s="269"/>
      <c r="I25" s="270"/>
      <c r="J25" s="63"/>
      <c r="K25" s="63"/>
      <c r="L25" s="65"/>
      <c r="M25" s="43">
        <f>IF(E10&lt;=0,0,LEFT(E10/10,1)*10)</f>
        <v>0</v>
      </c>
      <c r="N25" s="43">
        <f>IF(E10&lt;=0,0,LEFT(E10/10+1,1)*10)</f>
        <v>0</v>
      </c>
      <c r="O25" s="43"/>
      <c r="P25" s="81">
        <f>E10</f>
        <v>0</v>
      </c>
    </row>
    <row r="26" spans="2:25" ht="15" customHeight="1" x14ac:dyDescent="0.55000000000000004">
      <c r="B26" s="267"/>
      <c r="C26" s="12" t="s">
        <v>39</v>
      </c>
      <c r="D26" s="55"/>
      <c r="E26" s="112"/>
      <c r="F26" s="64"/>
      <c r="G26" s="67"/>
      <c r="H26" s="68"/>
      <c r="I26" s="69"/>
    </row>
    <row r="27" spans="2:25" x14ac:dyDescent="0.55000000000000004">
      <c r="B27" s="267"/>
      <c r="C27" s="54" t="s">
        <v>28</v>
      </c>
      <c r="D27" s="55"/>
      <c r="E27" s="112"/>
      <c r="F27" s="64"/>
      <c r="G27" s="232" t="str">
        <f>IF(E27="","COMPLETE THE FORM","AIRPORT ALTITUDE OK")</f>
        <v>COMPLETE THE FORM</v>
      </c>
      <c r="H27" s="233"/>
      <c r="I27" s="234"/>
    </row>
    <row r="28" spans="2:25" x14ac:dyDescent="0.55000000000000004">
      <c r="B28" s="267"/>
      <c r="C28" s="56" t="s">
        <v>41</v>
      </c>
      <c r="D28" s="57"/>
      <c r="E28" s="113"/>
      <c r="F28" s="64"/>
      <c r="G28" s="232" t="str">
        <f>IF(E28="","COMPLETE THE FORM",IF(OR(E28&lt;960,E28&gt;1100),"INVALID QNH","QNH OK"))</f>
        <v>COMPLETE THE FORM</v>
      </c>
      <c r="H28" s="233"/>
      <c r="I28" s="234"/>
    </row>
    <row r="29" spans="2:25" ht="15" customHeight="1" x14ac:dyDescent="0.55000000000000004">
      <c r="B29" s="267"/>
      <c r="C29" s="56" t="s">
        <v>34</v>
      </c>
      <c r="D29" s="57"/>
      <c r="E29" s="73" t="str">
        <f>IF(OR(E27="",E28=""),"COMPLETE THE FORM",IF(E28&gt;1013,(E27-(E28-1013)*30),(E27+(1013-E28)*30)))</f>
        <v>COMPLETE THE FORM</v>
      </c>
      <c r="F29" s="64"/>
      <c r="G29" s="232" t="str">
        <f>IF(OR(E29="",E29="COMPLETE THE FORM"),"COMPLETE THE FORM",IF(E29&gt;3000,"LEANING OF MIXTURE IS RECOMMENDED","LEANING OF MIXTURE NOT RECOMMENDED"))</f>
        <v>COMPLETE THE FORM</v>
      </c>
      <c r="H29" s="233"/>
      <c r="I29" s="234"/>
    </row>
    <row r="30" spans="2:25" x14ac:dyDescent="0.55000000000000004">
      <c r="B30" s="267"/>
      <c r="C30" s="56" t="s">
        <v>40</v>
      </c>
      <c r="D30" s="57"/>
      <c r="E30" s="113"/>
      <c r="F30" s="64"/>
      <c r="G30" s="232" t="str">
        <f>IF(E30="","COMPLETE THE FORM",IF(E30&gt;=40,"TEMPERATURE TOO HIGH","TEMPERATURE OK"))</f>
        <v>COMPLETE THE FORM</v>
      </c>
      <c r="H30" s="233"/>
      <c r="I30" s="234"/>
    </row>
    <row r="31" spans="2:25" x14ac:dyDescent="0.55000000000000004">
      <c r="B31" s="267"/>
      <c r="C31" s="56" t="s">
        <v>35</v>
      </c>
      <c r="D31" s="57"/>
      <c r="E31" s="73" t="str">
        <f>IF(OR(E28="",E27="",E30=""),"COMPLETE THE FORM",E29+120*(E30-(15-(1.98/1000*E29))))</f>
        <v>COMPLETE THE FORM</v>
      </c>
      <c r="F31" s="64"/>
      <c r="G31" s="67"/>
      <c r="H31" s="68"/>
      <c r="I31" s="71"/>
    </row>
    <row r="32" spans="2:25" ht="15" customHeight="1" x14ac:dyDescent="0.55000000000000004">
      <c r="B32" s="267"/>
      <c r="C32" s="56" t="s">
        <v>31</v>
      </c>
      <c r="D32" s="57"/>
      <c r="E32" s="103"/>
      <c r="F32" s="64"/>
      <c r="G32" s="67"/>
      <c r="H32" s="68"/>
      <c r="I32" s="71"/>
    </row>
    <row r="33" spans="2:11" x14ac:dyDescent="0.55000000000000004">
      <c r="B33" s="267"/>
      <c r="C33" s="56"/>
      <c r="D33" s="57" t="s">
        <v>33</v>
      </c>
      <c r="E33" s="113"/>
      <c r="F33" s="64"/>
      <c r="G33" s="91" t="str">
        <f>IF(E33="","COMPLETE THE FORM",IF(OR(E33&lt;0,E33&gt;359),"INVALID WIND DIRECTION","WIND DIRECTION OK"))</f>
        <v>COMPLETE THE FORM</v>
      </c>
      <c r="H33" s="68"/>
      <c r="I33" s="257" t="str">
        <f>IF(OR(E33="",E34="",E36=""),"COMPLETE THE FORM",IF(E34&lt;0,"CHECK WIND VELOCITY",IF(ABS(O97)&gt;=15,"CROSSWIND TOO STRONG",IF(R96="USE OTHER RUNWAY DIRECTION","TOO MUCH TAILWIND, USE OTHER RUNWAY DIRECTION",ROUND(ABS(O96),1)&amp;"kts "&amp;P96&amp;" AND " &amp; ROUND(ABS(O97),1)&amp;"kts "&amp;P97))))</f>
        <v>COMPLETE THE FORM</v>
      </c>
    </row>
    <row r="34" spans="2:11" x14ac:dyDescent="0.55000000000000004">
      <c r="B34" s="267"/>
      <c r="C34" s="56"/>
      <c r="D34" s="57" t="s">
        <v>32</v>
      </c>
      <c r="E34" s="113"/>
      <c r="F34" s="64"/>
      <c r="G34" s="92" t="str">
        <f>IF(E34="","COMPLETE THE FORM",IF(E34&lt;0,"INVALID WIND VELOCITY","WIND VELOCITY OK"))</f>
        <v>COMPLETE THE FORM</v>
      </c>
      <c r="H34" s="68"/>
      <c r="I34" s="258"/>
    </row>
    <row r="35" spans="2:11" ht="15" customHeight="1" x14ac:dyDescent="0.55000000000000004">
      <c r="B35" s="267"/>
      <c r="C35" s="56" t="s">
        <v>29</v>
      </c>
      <c r="D35" s="57"/>
      <c r="E35" s="103"/>
      <c r="F35" s="64"/>
      <c r="G35" s="67"/>
      <c r="H35" s="68"/>
      <c r="I35" s="258"/>
    </row>
    <row r="36" spans="2:11" x14ac:dyDescent="0.55000000000000004">
      <c r="B36" s="267"/>
      <c r="C36" s="56"/>
      <c r="D36" s="57" t="s">
        <v>88</v>
      </c>
      <c r="E36" s="114"/>
      <c r="F36" s="64"/>
      <c r="G36" s="92" t="str">
        <f>IF(E36="","COMPLETE THE FORM",IF(OR(E36&lt;0,E36&gt;35),"INVALID QFU","QFU OK"))</f>
        <v>COMPLETE THE FORM</v>
      </c>
      <c r="H36" s="68"/>
      <c r="I36" s="259"/>
    </row>
    <row r="37" spans="2:11" x14ac:dyDescent="0.55000000000000004">
      <c r="B37" s="267"/>
      <c r="C37" s="56"/>
      <c r="D37" s="57" t="s">
        <v>30</v>
      </c>
      <c r="E37" s="107">
        <v>1</v>
      </c>
      <c r="F37" s="64"/>
      <c r="G37" s="126" t="str">
        <f>IF(E37="","",IF(E37=1,"DEFINE TYPE",IF(E37=2,"PAVED",IF(E37=3,"GRASS"))))</f>
        <v>DEFINE TYPE</v>
      </c>
      <c r="H37" s="68"/>
      <c r="I37" s="71"/>
    </row>
    <row r="38" spans="2:11" x14ac:dyDescent="0.55000000000000004">
      <c r="B38" s="267"/>
      <c r="C38" s="56"/>
      <c r="D38" s="57" t="s">
        <v>89</v>
      </c>
      <c r="E38" s="113"/>
      <c r="F38" s="64"/>
      <c r="G38" s="244" t="str">
        <f>IF(E38="","COMPLETE THE FORM",IF(E38&lt;0,"INVALID RUNWAY LENGTH VALUE","RUNWAY LENGTH VALUE OK"))</f>
        <v>COMPLETE THE FORM</v>
      </c>
      <c r="H38" s="245"/>
      <c r="I38" s="246"/>
    </row>
    <row r="39" spans="2:11" ht="15" customHeight="1" x14ac:dyDescent="0.55000000000000004">
      <c r="B39" s="267"/>
      <c r="C39" s="56" t="s">
        <v>87</v>
      </c>
      <c r="D39" s="57"/>
      <c r="E39" s="115"/>
      <c r="F39" s="64"/>
      <c r="G39" s="263"/>
      <c r="H39" s="264"/>
      <c r="I39" s="265"/>
    </row>
    <row r="40" spans="2:11" x14ac:dyDescent="0.55000000000000004">
      <c r="B40" s="267"/>
      <c r="C40" s="56" t="s">
        <v>144</v>
      </c>
      <c r="D40" s="57"/>
      <c r="E40" s="103"/>
      <c r="F40" s="74"/>
      <c r="G40" s="102"/>
      <c r="H40" s="77"/>
      <c r="I40" s="78"/>
    </row>
    <row r="41" spans="2:11" x14ac:dyDescent="0.55000000000000004">
      <c r="B41" s="267"/>
      <c r="C41" s="56"/>
      <c r="D41" s="57" t="s">
        <v>38</v>
      </c>
      <c r="E41" s="73">
        <v>60</v>
      </c>
      <c r="F41" s="74"/>
      <c r="G41" s="76"/>
      <c r="H41" s="77"/>
      <c r="I41" s="78"/>
    </row>
    <row r="42" spans="2:11" x14ac:dyDescent="0.55000000000000004">
      <c r="B42" s="267"/>
      <c r="C42" s="56"/>
      <c r="D42" s="57" t="s">
        <v>36</v>
      </c>
      <c r="E42" s="73" t="str">
        <f>IF(E29="COMPLETE THE FORM","COMPLETE THE FORM",IF(R96="USE OTHER RUNWAY DIRECTION","CHANGE RUNWAY",IF(OR(E29&gt;=8000,E30&gt;=40),"NO DATA AVAILABLE",IF(G37="PAVED",((1+R96)*P92*(1+E39))*0.3048,IF(G37="GRASS",(((1+R96)*P92+(0.45*P92))*(1+E39))*0.3048,"COMPLETE THE FORM")))))</f>
        <v>COMPLETE THE FORM</v>
      </c>
      <c r="F42" s="74"/>
      <c r="G42" s="76"/>
      <c r="H42" s="77"/>
      <c r="I42" s="78"/>
    </row>
    <row r="43" spans="2:11" ht="14.7" thickBot="1" x14ac:dyDescent="0.6">
      <c r="B43" s="267"/>
      <c r="C43" s="15"/>
      <c r="D43" s="57" t="s">
        <v>37</v>
      </c>
      <c r="E43" s="73" t="str">
        <f>IF(E29="COMPLETE THE FORM","COMPLETE THE FORM",IF(R96="USE OTHER RUNWAY DIRECTION","CHANGE RUNWAY",IF(OR(E29&gt;=8000,E30&gt;=40),"NO DATA AVAILABLE",IF(G37="PAVED",((1+R96)*Q92*(1+E39))*0.3048,IF(G37="GRASS",(((1+R96)*Q92+(0.45*P92))*(1+E39))*0.3048,"COMPLETE THE FORM")))))</f>
        <v>COMPLETE THE FORM</v>
      </c>
      <c r="F43" s="63"/>
      <c r="G43" s="260" t="str">
        <f>IF(E29="COMPLETE THE FORM","COMPLETE THE FORM",IF(OR(E29&gt;=8000,E30&gt;=40),"NO DATA AVAILABLE, CHECK P.A. / TEMP",IF(G37="DEFINE TYPE","DEFINE TYPE OF RUNWAY",IF(E38="","COMPLETE THE FORM",IF(E43="CHANGE RUNWAY","TOO MUCH TAILWIND, USE OTHER RUNWAY DIRECTION",IF(E43&gt;E38,"RUNWAY TOO SHORT",IF(E43&lt;=E38,"RUNWAY LENGTH SUFFICIENT")))))))</f>
        <v>COMPLETE THE FORM</v>
      </c>
      <c r="H43" s="261"/>
      <c r="I43" s="262"/>
    </row>
    <row r="45" spans="2:11" ht="15" customHeight="1" x14ac:dyDescent="0.55000000000000004">
      <c r="B45" s="196" t="s">
        <v>77</v>
      </c>
      <c r="C45" s="196"/>
      <c r="D45" s="196"/>
      <c r="E45" s="196"/>
      <c r="F45" s="196"/>
      <c r="G45" s="196"/>
      <c r="H45" s="196"/>
      <c r="I45" s="196"/>
      <c r="J45" s="129"/>
      <c r="K45" s="129"/>
    </row>
    <row r="46" spans="2:11" x14ac:dyDescent="0.55000000000000004">
      <c r="B46" s="196"/>
      <c r="C46" s="196"/>
      <c r="D46" s="196"/>
      <c r="E46" s="196"/>
      <c r="F46" s="196"/>
      <c r="G46" s="196"/>
      <c r="H46" s="196"/>
      <c r="I46" s="196"/>
      <c r="J46" s="129"/>
      <c r="K46" s="129"/>
    </row>
    <row r="49" spans="5:21" x14ac:dyDescent="0.55000000000000004">
      <c r="E49" s="111"/>
    </row>
    <row r="54" spans="5:21" x14ac:dyDescent="0.55000000000000004">
      <c r="P54" s="59"/>
      <c r="Q54" s="185"/>
      <c r="R54" s="185"/>
      <c r="S54" s="185"/>
      <c r="T54" s="59"/>
      <c r="U54" s="59"/>
    </row>
    <row r="55" spans="5:21" x14ac:dyDescent="0.55000000000000004">
      <c r="P55" s="59"/>
      <c r="Q55" s="185"/>
      <c r="R55" s="185"/>
      <c r="S55" s="185"/>
      <c r="T55" s="59"/>
      <c r="U55" s="59"/>
    </row>
    <row r="56" spans="5:21" x14ac:dyDescent="0.55000000000000004">
      <c r="P56" s="59"/>
      <c r="Q56" s="185"/>
      <c r="R56" s="185"/>
      <c r="S56" s="185"/>
      <c r="T56" s="59"/>
      <c r="U56" s="59"/>
    </row>
    <row r="57" spans="5:21" x14ac:dyDescent="0.55000000000000004">
      <c r="P57" s="59"/>
      <c r="Q57" s="59"/>
      <c r="R57" s="59"/>
      <c r="S57" s="59"/>
      <c r="T57" s="59"/>
      <c r="U57" s="59"/>
    </row>
    <row r="58" spans="5:21" x14ac:dyDescent="0.55000000000000004">
      <c r="P58" s="59"/>
      <c r="Q58" s="186"/>
      <c r="R58" s="186"/>
      <c r="S58" s="186"/>
      <c r="T58" s="59"/>
      <c r="U58" s="59"/>
    </row>
    <row r="59" spans="5:21" x14ac:dyDescent="0.55000000000000004">
      <c r="P59" s="59"/>
      <c r="Q59" s="186"/>
      <c r="R59" s="256"/>
      <c r="S59" s="256"/>
      <c r="T59" s="59"/>
      <c r="U59" s="59"/>
    </row>
    <row r="60" spans="5:21" x14ac:dyDescent="0.55000000000000004">
      <c r="P60" s="59"/>
      <c r="Q60" s="186"/>
      <c r="R60" s="256"/>
      <c r="S60" s="256"/>
      <c r="T60" s="59"/>
      <c r="U60" s="59"/>
    </row>
    <row r="61" spans="5:21" x14ac:dyDescent="0.55000000000000004">
      <c r="P61" s="59"/>
      <c r="Q61" s="186"/>
      <c r="R61" s="256"/>
      <c r="S61" s="256"/>
      <c r="T61" s="59"/>
      <c r="U61" s="59"/>
    </row>
    <row r="62" spans="5:21" x14ac:dyDescent="0.55000000000000004">
      <c r="P62" s="59"/>
      <c r="Q62" s="59"/>
      <c r="R62" s="59"/>
      <c r="S62" s="59"/>
      <c r="T62" s="59"/>
      <c r="U62" s="59"/>
    </row>
    <row r="63" spans="5:21" x14ac:dyDescent="0.55000000000000004">
      <c r="M63" s="4"/>
      <c r="P63" s="59"/>
      <c r="Q63" s="59"/>
      <c r="R63" s="59"/>
      <c r="S63" s="59"/>
      <c r="T63" s="59"/>
      <c r="U63" s="59"/>
    </row>
    <row r="64" spans="5:21" x14ac:dyDescent="0.55000000000000004">
      <c r="N64" s="106"/>
      <c r="P64" s="59"/>
      <c r="Q64" s="59"/>
      <c r="R64" s="59"/>
      <c r="S64" s="59"/>
      <c r="T64" s="59"/>
      <c r="U64" s="59"/>
    </row>
    <row r="65" spans="13:24" x14ac:dyDescent="0.55000000000000004">
      <c r="P65" s="59"/>
      <c r="Q65" s="59"/>
      <c r="R65" s="59"/>
      <c r="S65" s="59"/>
      <c r="T65" s="59"/>
      <c r="U65" s="59"/>
    </row>
    <row r="66" spans="13:24" x14ac:dyDescent="0.55000000000000004">
      <c r="P66" s="59"/>
      <c r="Q66" s="59"/>
      <c r="R66" s="59"/>
      <c r="S66" s="59"/>
      <c r="T66" s="59"/>
      <c r="U66" s="59"/>
    </row>
    <row r="67" spans="13:24" x14ac:dyDescent="0.55000000000000004">
      <c r="M67" s="4"/>
      <c r="O67" s="145"/>
      <c r="P67" s="145"/>
      <c r="Q67" s="145"/>
    </row>
    <row r="68" spans="13:24" x14ac:dyDescent="0.55000000000000004">
      <c r="O68" s="59"/>
      <c r="P68" s="178"/>
      <c r="Q68" s="59"/>
    </row>
    <row r="69" spans="13:24" x14ac:dyDescent="0.55000000000000004">
      <c r="O69" s="59"/>
      <c r="P69" s="178"/>
      <c r="Q69" s="59"/>
    </row>
    <row r="70" spans="13:24" x14ac:dyDescent="0.55000000000000004">
      <c r="O70" s="59"/>
      <c r="P70" s="59"/>
      <c r="Q70" s="59"/>
    </row>
    <row r="71" spans="13:24" x14ac:dyDescent="0.55000000000000004">
      <c r="M71" s="4"/>
    </row>
    <row r="72" spans="13:24" x14ac:dyDescent="0.55000000000000004">
      <c r="P72" s="149"/>
    </row>
    <row r="74" spans="13:24" x14ac:dyDescent="0.55000000000000004">
      <c r="M74" s="82" t="s">
        <v>149</v>
      </c>
      <c r="N74" s="43"/>
      <c r="O74" s="43"/>
      <c r="P74" s="43"/>
      <c r="Q74" s="63"/>
      <c r="R74" s="75"/>
      <c r="S74" s="75" t="str">
        <f>T20</f>
        <v>OVERWEIGHT</v>
      </c>
      <c r="T74" s="4" t="s">
        <v>115</v>
      </c>
    </row>
    <row r="75" spans="13:24" x14ac:dyDescent="0.55000000000000004">
      <c r="M75" s="63"/>
      <c r="N75" s="235">
        <f>M25</f>
        <v>0</v>
      </c>
      <c r="O75" s="235"/>
      <c r="P75" s="236">
        <f>P25</f>
        <v>0</v>
      </c>
      <c r="Q75" s="237"/>
      <c r="R75" s="235">
        <f>N25</f>
        <v>0</v>
      </c>
      <c r="S75" s="235"/>
    </row>
    <row r="76" spans="13:24" x14ac:dyDescent="0.55000000000000004">
      <c r="M76" s="43"/>
      <c r="N76" s="43" t="s">
        <v>45</v>
      </c>
      <c r="O76" s="43" t="s">
        <v>51</v>
      </c>
      <c r="P76" s="83" t="s">
        <v>45</v>
      </c>
      <c r="Q76" s="83" t="s">
        <v>51</v>
      </c>
      <c r="R76" s="43" t="s">
        <v>45</v>
      </c>
      <c r="S76" s="64" t="s">
        <v>51</v>
      </c>
      <c r="T76" s="11"/>
      <c r="U76" s="11"/>
      <c r="V76" s="11"/>
      <c r="W76" s="11"/>
      <c r="X76" s="11"/>
    </row>
    <row r="77" spans="13:24" x14ac:dyDescent="0.55000000000000004">
      <c r="M77" s="84" t="s">
        <v>52</v>
      </c>
      <c r="N77" s="63">
        <f>2+(M25/10*2)</f>
        <v>2</v>
      </c>
      <c r="O77" s="63">
        <f>3+(M25/10*2)</f>
        <v>3</v>
      </c>
      <c r="P77" s="85"/>
      <c r="Q77" s="85"/>
      <c r="R77" s="63">
        <f>2+(N25/10*2)</f>
        <v>2</v>
      </c>
      <c r="S77" s="63">
        <f>3+(N25/10*2)</f>
        <v>3</v>
      </c>
    </row>
    <row r="78" spans="13:24" ht="14.7" thickBot="1" x14ac:dyDescent="0.6">
      <c r="M78" s="86" t="e">
        <f>M23</f>
        <v>#VALUE!</v>
      </c>
      <c r="N78" s="63" t="e">
        <f>VLOOKUP($M78,'C172 Performance specs'!$E$7:$O$15,N$77,FALSE)</f>
        <v>#VALUE!</v>
      </c>
      <c r="O78" s="63" t="e">
        <f>VLOOKUP($M78,IF(S74=2450,'C172 Performance specs'!$E$7:$O$15),O$77,FALSE)</f>
        <v>#VALUE!</v>
      </c>
      <c r="P78" s="85"/>
      <c r="Q78" s="85"/>
      <c r="R78" s="63" t="e">
        <f>VLOOKUP($M78,IF(S74=2450,'C172 Performance specs'!$E$7:$O$15,),'Performance FORM'!R$77,FALSE)</f>
        <v>#VALUE!</v>
      </c>
      <c r="S78" s="63" t="e">
        <f>VLOOKUP($M78,IF(S74=2450,'C172 Performance specs'!$E$7:$O$15,),'Performance FORM'!S$77,FALSE)</f>
        <v>#VALUE!</v>
      </c>
      <c r="T78" s="11"/>
      <c r="U78" s="11"/>
      <c r="V78" s="11"/>
      <c r="W78" s="11"/>
      <c r="X78" s="11"/>
    </row>
    <row r="79" spans="13:24" ht="14.7" thickBot="1" x14ac:dyDescent="0.6">
      <c r="M79" s="87" t="str">
        <f>P23</f>
        <v>COMPLETE THE FORM</v>
      </c>
      <c r="N79" s="88" t="e">
        <f>IF(P23&lt;=0,N78,N78+((N80-N78)*(($M$79-$M$78)/($M$80-$M$78))))</f>
        <v>#VALUE!</v>
      </c>
      <c r="O79" s="88" t="e">
        <f>IF(P23&lt;=0,O78,O78+((O80-O78)*(($M$79-$M$78)/($M$80-$M$78))))</f>
        <v>#VALUE!</v>
      </c>
      <c r="P79" s="89" t="e">
        <f>IF(P25&lt;=0,N79,N79+((R79-N79)*((($P$75-$N$75)/($R$75-$N$75)))))</f>
        <v>#VALUE!</v>
      </c>
      <c r="Q79" s="90" t="e">
        <f>IF(P25&lt;=0,O79,O79+((S79-O79)*((($P$75-$N$75)/($R$75-$N$75)))))</f>
        <v>#VALUE!</v>
      </c>
      <c r="R79" s="88" t="e">
        <f>IF(P23&lt;=0,R78,R78+((R80-R78)*(($M$79-$M$78)/($M$80-$M$78))))</f>
        <v>#VALUE!</v>
      </c>
      <c r="S79" s="88" t="e">
        <f>IF(P23&lt;=0,S78,S78+((S80-S78)*(($M$79-$M$78)/($M$80-$M$78))))</f>
        <v>#VALUE!</v>
      </c>
    </row>
    <row r="80" spans="13:24" x14ac:dyDescent="0.55000000000000004">
      <c r="M80" s="63" t="e">
        <f>N23</f>
        <v>#VALUE!</v>
      </c>
      <c r="N80" s="63" t="e">
        <f>VLOOKUP($M80,IF(S74=2450,'C172 Performance specs'!$E$7:$O$15),'Performance FORM'!N77,FALSE)</f>
        <v>#VALUE!</v>
      </c>
      <c r="O80" s="63" t="e">
        <f>VLOOKUP($M80,IF(S74=2450,'C172 Performance specs'!$E$7:$O$15),'Performance FORM'!O77,FALSE)</f>
        <v>#VALUE!</v>
      </c>
      <c r="P80" s="85"/>
      <c r="Q80" s="85"/>
      <c r="R80" s="63" t="e">
        <f>VLOOKUP($M80,IF(S74=2450,'C172 Performance specs'!$E$7:$O$15),'Performance FORM'!R$77,FALSE)</f>
        <v>#VALUE!</v>
      </c>
      <c r="S80" s="63" t="e">
        <f>VLOOKUP($M80,IF(S74=2450,'C172 Performance specs'!$E$7:$O$15),'Performance FORM'!S$77,FALSE)</f>
        <v>#VALUE!</v>
      </c>
    </row>
    <row r="82" spans="13:19" x14ac:dyDescent="0.55000000000000004">
      <c r="M82" s="75" t="s">
        <v>146</v>
      </c>
      <c r="N82" s="63"/>
      <c r="O82" s="63"/>
      <c r="P82" s="63"/>
      <c r="Q82" s="63"/>
      <c r="R82" s="63"/>
      <c r="S82" s="63"/>
    </row>
    <row r="83" spans="13:19" x14ac:dyDescent="0.55000000000000004">
      <c r="M83" s="79" t="s">
        <v>66</v>
      </c>
      <c r="N83" s="79"/>
      <c r="O83" s="63"/>
      <c r="P83" s="63" t="s">
        <v>71</v>
      </c>
      <c r="Q83" s="63"/>
      <c r="R83" s="63"/>
      <c r="S83" s="63"/>
    </row>
    <row r="84" spans="13:19" x14ac:dyDescent="0.55000000000000004">
      <c r="M84" s="63" t="e">
        <f>IF(E29&lt;=0,0,LEFT(E29/1000,1)*1000)</f>
        <v>#VALUE!</v>
      </c>
      <c r="N84" s="63" t="e">
        <f>IF(E29&lt;=0,0,LEFT(E29/1000+1,1)*1000)</f>
        <v>#VALUE!</v>
      </c>
      <c r="O84" s="63"/>
      <c r="P84" s="80" t="str">
        <f>E29</f>
        <v>COMPLETE THE FORM</v>
      </c>
      <c r="Q84" s="43"/>
      <c r="R84" s="11"/>
      <c r="S84" s="43"/>
    </row>
    <row r="85" spans="13:19" x14ac:dyDescent="0.55000000000000004">
      <c r="M85" s="63" t="s">
        <v>69</v>
      </c>
      <c r="N85" s="63"/>
      <c r="O85" s="63"/>
      <c r="P85" s="63" t="s">
        <v>70</v>
      </c>
      <c r="Q85" s="63"/>
      <c r="R85" s="63"/>
      <c r="S85" s="63"/>
    </row>
    <row r="86" spans="13:19" x14ac:dyDescent="0.55000000000000004">
      <c r="M86" s="43">
        <f>IF(E30&lt;=0,0,LEFT(E30/10,1)*10)</f>
        <v>0</v>
      </c>
      <c r="N86" s="43">
        <f>IF(E30&lt;=0,0,LEFT(E30/10+1,1)*10)</f>
        <v>0</v>
      </c>
      <c r="O86" s="43"/>
      <c r="P86" s="81">
        <f>E30</f>
        <v>0</v>
      </c>
      <c r="Q86" s="63"/>
      <c r="R86" s="63"/>
      <c r="S86" s="63"/>
    </row>
    <row r="87" spans="13:19" x14ac:dyDescent="0.55000000000000004">
      <c r="M87" s="82" t="s">
        <v>78</v>
      </c>
      <c r="N87" s="43"/>
      <c r="O87" s="43"/>
      <c r="P87" s="43"/>
      <c r="Q87" s="63"/>
      <c r="R87" s="63"/>
      <c r="S87" s="63"/>
    </row>
    <row r="88" spans="13:19" x14ac:dyDescent="0.55000000000000004">
      <c r="M88" s="63"/>
      <c r="N88" s="235">
        <f>M86</f>
        <v>0</v>
      </c>
      <c r="O88" s="235"/>
      <c r="P88" s="236">
        <f>P86</f>
        <v>0</v>
      </c>
      <c r="Q88" s="237"/>
      <c r="R88" s="235">
        <f>N86</f>
        <v>0</v>
      </c>
      <c r="S88" s="235"/>
    </row>
    <row r="89" spans="13:19" x14ac:dyDescent="0.55000000000000004">
      <c r="M89" s="43"/>
      <c r="N89" s="43" t="s">
        <v>45</v>
      </c>
      <c r="O89" s="43" t="s">
        <v>51</v>
      </c>
      <c r="P89" s="83" t="s">
        <v>45</v>
      </c>
      <c r="Q89" s="83" t="s">
        <v>51</v>
      </c>
      <c r="R89" s="43" t="s">
        <v>45</v>
      </c>
      <c r="S89" s="64" t="s">
        <v>51</v>
      </c>
    </row>
    <row r="90" spans="13:19" x14ac:dyDescent="0.55000000000000004">
      <c r="M90" s="84" t="s">
        <v>52</v>
      </c>
      <c r="N90" s="63">
        <f>2+(M86/10*2)</f>
        <v>2</v>
      </c>
      <c r="O90" s="63">
        <f>3+(M86/10*2)</f>
        <v>3</v>
      </c>
      <c r="P90" s="85"/>
      <c r="Q90" s="85"/>
      <c r="R90" s="63">
        <f>2+(N86/10*2)</f>
        <v>2</v>
      </c>
      <c r="S90" s="63">
        <f>3+(N86/10*2)</f>
        <v>3</v>
      </c>
    </row>
    <row r="91" spans="13:19" ht="14.7" thickBot="1" x14ac:dyDescent="0.6">
      <c r="M91" s="86" t="e">
        <f>M84</f>
        <v>#VALUE!</v>
      </c>
      <c r="N91" s="63" t="e">
        <f>VLOOKUP($M91,'C172 Performance specs'!$E$26:$O$34,'Performance FORM'!N$90,FALSE)</f>
        <v>#VALUE!</v>
      </c>
      <c r="O91" s="63" t="e">
        <f>VLOOKUP($M91,'C172 Performance specs'!$E$26:$O$34,'Performance FORM'!O$90,FALSE)</f>
        <v>#VALUE!</v>
      </c>
      <c r="P91" s="65"/>
      <c r="Q91" s="65"/>
      <c r="R91" s="63" t="e">
        <f>VLOOKUP($M91,'C172 Performance specs'!$E$26:$O$34,'Performance FORM'!R$90,FALSE)</f>
        <v>#VALUE!</v>
      </c>
      <c r="S91" s="63" t="e">
        <f>VLOOKUP($M91,'C172 Performance specs'!$E$26:$O$34,'Performance FORM'!S$90,FALSE)</f>
        <v>#VALUE!</v>
      </c>
    </row>
    <row r="92" spans="13:19" ht="14.7" thickBot="1" x14ac:dyDescent="0.6">
      <c r="M92" s="87" t="str">
        <f>P84</f>
        <v>COMPLETE THE FORM</v>
      </c>
      <c r="N92" s="88" t="e">
        <f>IF($P$84&lt;=0,N91,N91+((N93-N91)*(($M$92-$M$91)/($M$93-$M$91))))</f>
        <v>#VALUE!</v>
      </c>
      <c r="O92" s="88" t="e">
        <f>IF($P$84&lt;=0,O91,O91+((O93-O91)*(($M$92-$M$91)/($M$93-$M$91))))</f>
        <v>#VALUE!</v>
      </c>
      <c r="P92" s="89" t="e">
        <f>IF(P86&lt;=0,N92,N92+((R92-N92)*((($P$88-$N$88)/($R$88-$N$88)))))</f>
        <v>#VALUE!</v>
      </c>
      <c r="Q92" s="90" t="e">
        <f>IF(P86&lt;=0,O92,O92+((S92-O92)*((($P$88-$N$88)/($R$88-$N$88)))))</f>
        <v>#VALUE!</v>
      </c>
      <c r="R92" s="88" t="e">
        <f>IF($P$84&lt;=0,R91,R91+((R93-R91)*(($M$92-$M$91)/($M$93-$M$91))))</f>
        <v>#VALUE!</v>
      </c>
      <c r="S92" s="88" t="e">
        <f>IF($P$84&lt;=0,S91,S91+((S93-S91)*(($M$92-$M$91)/($M$93-$M$91))))</f>
        <v>#VALUE!</v>
      </c>
    </row>
    <row r="93" spans="13:19" x14ac:dyDescent="0.55000000000000004">
      <c r="M93" s="63" t="e">
        <f>N84</f>
        <v>#VALUE!</v>
      </c>
      <c r="N93" s="63" t="e">
        <f>VLOOKUP($M93,'C172 Performance specs'!$E$26:$O$34,'Performance FORM'!N$90,FALSE)</f>
        <v>#VALUE!</v>
      </c>
      <c r="O93" s="63" t="e">
        <f>VLOOKUP($M93,'C172 Performance specs'!$E$26:$O$34,'Performance FORM'!O$90,FALSE)</f>
        <v>#VALUE!</v>
      </c>
      <c r="P93" s="65"/>
      <c r="Q93" s="65"/>
      <c r="R93" s="63" t="e">
        <f>VLOOKUP($M93,'C172 Performance specs'!$E$26:$O$34,'Performance FORM'!R$90,FALSE)</f>
        <v>#VALUE!</v>
      </c>
      <c r="S93" s="63" t="e">
        <f>VLOOKUP($M93,'C172 Performance specs'!$E$26:$O$34,'Performance FORM'!S$90,FALSE)</f>
        <v>#VALUE!</v>
      </c>
    </row>
    <row r="95" spans="13:19" x14ac:dyDescent="0.55000000000000004">
      <c r="M95" s="72" t="s">
        <v>60</v>
      </c>
      <c r="N95" s="66"/>
      <c r="O95" s="66"/>
      <c r="P95" s="63"/>
      <c r="Q95" s="63"/>
      <c r="R95" s="75" t="s">
        <v>61</v>
      </c>
    </row>
    <row r="96" spans="13:19" x14ac:dyDescent="0.55000000000000004">
      <c r="M96" s="93" t="s">
        <v>67</v>
      </c>
      <c r="N96" s="93"/>
      <c r="O96" s="94">
        <f>E34*COS((ABS((E36*10)-E33)*PI()/180))</f>
        <v>0</v>
      </c>
      <c r="P96" s="63" t="str">
        <f>IF(O96&gt;=0,"HEADWIND",IF(O96&lt;0,"TAILWIND",""))</f>
        <v>HEADWIND</v>
      </c>
      <c r="Q96" s="63"/>
      <c r="R96" s="96">
        <f>IF(O96&gt;=0,O96/9*-0.1,IF(AND(O96&lt;0,O96&gt;=-10),ABS(O96/2*0.1),"USE OTHER RUNWAY DIRECTION"))</f>
        <v>0</v>
      </c>
    </row>
    <row r="97" spans="13:22" x14ac:dyDescent="0.55000000000000004">
      <c r="M97" s="93" t="s">
        <v>68</v>
      </c>
      <c r="N97" s="93"/>
      <c r="O97" s="94">
        <f>E34*SIN((ABS((E36*10)-E33)*PI()/180))</f>
        <v>0</v>
      </c>
      <c r="P97" s="63" t="s">
        <v>76</v>
      </c>
      <c r="Q97" s="63"/>
      <c r="R97" s="63"/>
    </row>
    <row r="99" spans="13:22" x14ac:dyDescent="0.55000000000000004">
      <c r="M99" s="4"/>
    </row>
    <row r="101" spans="13:22" x14ac:dyDescent="0.55000000000000004">
      <c r="P101" s="61"/>
    </row>
    <row r="103" spans="13:22" x14ac:dyDescent="0.55000000000000004">
      <c r="P103" s="61"/>
    </row>
    <row r="105" spans="13:22" x14ac:dyDescent="0.55000000000000004">
      <c r="M105" s="4"/>
    </row>
    <row r="107" spans="13:22" x14ac:dyDescent="0.55000000000000004">
      <c r="M107" s="61"/>
    </row>
    <row r="108" spans="13:22" x14ac:dyDescent="0.55000000000000004">
      <c r="M108" s="4"/>
    </row>
    <row r="109" spans="13:22" x14ac:dyDescent="0.55000000000000004">
      <c r="N109" s="224"/>
      <c r="O109" s="224"/>
      <c r="P109" s="224"/>
      <c r="Q109" s="225"/>
      <c r="R109" s="225"/>
      <c r="S109" s="225"/>
      <c r="T109" s="224"/>
      <c r="U109" s="224"/>
      <c r="V109" s="224"/>
    </row>
    <row r="110" spans="13:22" x14ac:dyDescent="0.55000000000000004">
      <c r="Q110" s="104"/>
      <c r="R110" s="104"/>
      <c r="S110" s="104"/>
    </row>
  </sheetData>
  <sheetProtection sheet="1" selectLockedCells="1"/>
  <mergeCells count="37">
    <mergeCell ref="G43:I43"/>
    <mergeCell ref="G39:I39"/>
    <mergeCell ref="B45:I46"/>
    <mergeCell ref="B25:B43"/>
    <mergeCell ref="G25:I25"/>
    <mergeCell ref="B5:B24"/>
    <mergeCell ref="O3:P3"/>
    <mergeCell ref="P75:Q75"/>
    <mergeCell ref="G19:I19"/>
    <mergeCell ref="G18:I18"/>
    <mergeCell ref="G9:I9"/>
    <mergeCell ref="I13:I16"/>
    <mergeCell ref="G23:I23"/>
    <mergeCell ref="G24:I24"/>
    <mergeCell ref="G5:I5"/>
    <mergeCell ref="G27:I27"/>
    <mergeCell ref="G28:I28"/>
    <mergeCell ref="G29:I29"/>
    <mergeCell ref="G30:I30"/>
    <mergeCell ref="I33:I36"/>
    <mergeCell ref="G38:I38"/>
    <mergeCell ref="T109:V109"/>
    <mergeCell ref="Q109:S109"/>
    <mergeCell ref="G3:I3"/>
    <mergeCell ref="G4:I4"/>
    <mergeCell ref="N109:P109"/>
    <mergeCell ref="G10:I10"/>
    <mergeCell ref="G8:I8"/>
    <mergeCell ref="G7:I7"/>
    <mergeCell ref="N88:O88"/>
    <mergeCell ref="P88:Q88"/>
    <mergeCell ref="R88:S88"/>
    <mergeCell ref="N75:O75"/>
    <mergeCell ref="R75:S75"/>
    <mergeCell ref="R59:S59"/>
    <mergeCell ref="R60:S60"/>
    <mergeCell ref="R61:S61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Vervolgkeuzelijst 1">
              <controlPr defaultSize="0" autoLine="0" autoPict="0">
                <anchor moveWithCells="1">
                  <from>
                    <xdr:col>3</xdr:col>
                    <xdr:colOff>1790700</xdr:colOff>
                    <xdr:row>15</xdr:row>
                    <xdr:rowOff>182880</xdr:rowOff>
                  </from>
                  <to>
                    <xdr:col>4</xdr:col>
                    <xdr:colOff>1325880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5" name="Vervolgkeuzelijst 4">
              <controlPr defaultSize="0" autoLine="0" autoPict="0">
                <anchor moveWithCells="1">
                  <from>
                    <xdr:col>3</xdr:col>
                    <xdr:colOff>1790700</xdr:colOff>
                    <xdr:row>36</xdr:row>
                    <xdr:rowOff>0</xdr:rowOff>
                  </from>
                  <to>
                    <xdr:col>4</xdr:col>
                    <xdr:colOff>1325880</xdr:colOff>
                    <xdr:row>37</xdr:row>
                    <xdr:rowOff>11430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6" name="Knop 7">
              <controlPr defaultSize="0" print="0" autoFill="0" autoPict="0" macro="[0]!Knop149_Klikken">
                <anchor moveWithCells="1">
                  <from>
                    <xdr:col>3</xdr:col>
                    <xdr:colOff>514350</xdr:colOff>
                    <xdr:row>2</xdr:row>
                    <xdr:rowOff>30480</xdr:rowOff>
                  </from>
                  <to>
                    <xdr:col>3</xdr:col>
                    <xdr:colOff>1085850</xdr:colOff>
                    <xdr:row>3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7">
    <tabColor theme="2"/>
    <pageSetUpPr fitToPage="1"/>
  </sheetPr>
  <dimension ref="B2:O80"/>
  <sheetViews>
    <sheetView zoomScale="90" zoomScaleNormal="90" workbookViewId="0">
      <selection activeCell="G12" sqref="G12"/>
    </sheetView>
  </sheetViews>
  <sheetFormatPr defaultRowHeight="14.4" x14ac:dyDescent="0.55000000000000004"/>
  <cols>
    <col min="2" max="2" width="19.578125" customWidth="1"/>
    <col min="3" max="3" width="8" customWidth="1"/>
    <col min="4" max="4" width="15.578125" customWidth="1"/>
    <col min="5" max="5" width="19.68359375" bestFit="1" customWidth="1"/>
    <col min="6" max="6" width="8.68359375" bestFit="1" customWidth="1"/>
    <col min="7" max="7" width="18.26171875" bestFit="1" customWidth="1"/>
    <col min="8" max="8" width="8.68359375" bestFit="1" customWidth="1"/>
    <col min="9" max="9" width="18.26171875" bestFit="1" customWidth="1"/>
    <col min="10" max="10" width="10" bestFit="1" customWidth="1"/>
    <col min="11" max="11" width="18.26171875" bestFit="1" customWidth="1"/>
    <col min="12" max="12" width="8.68359375" bestFit="1" customWidth="1"/>
    <col min="13" max="13" width="18.26171875" bestFit="1" customWidth="1"/>
    <col min="15" max="15" width="18.26171875" bestFit="1" customWidth="1"/>
  </cols>
  <sheetData>
    <row r="2" spans="2:15" ht="96.75" customHeight="1" x14ac:dyDescent="3.25">
      <c r="B2" s="273" t="s">
        <v>92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</row>
    <row r="3" spans="2:15" ht="15" customHeight="1" thickBot="1" x14ac:dyDescent="0.6">
      <c r="B3" s="274" t="s">
        <v>155</v>
      </c>
      <c r="C3" s="274"/>
      <c r="D3" s="274"/>
      <c r="E3" s="274"/>
      <c r="F3" s="274"/>
      <c r="G3" s="274"/>
      <c r="H3" s="274"/>
      <c r="I3" s="274"/>
      <c r="J3" s="274"/>
      <c r="K3" s="274"/>
      <c r="L3" s="274"/>
    </row>
    <row r="4" spans="2:15" x14ac:dyDescent="0.55000000000000004">
      <c r="B4" s="153" t="s">
        <v>93</v>
      </c>
      <c r="C4" s="154" t="s">
        <v>160</v>
      </c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63" t="s">
        <v>161</v>
      </c>
    </row>
    <row r="5" spans="2:15" x14ac:dyDescent="0.55000000000000004">
      <c r="B5" s="272" t="s">
        <v>94</v>
      </c>
      <c r="C5" s="195" t="s">
        <v>95</v>
      </c>
      <c r="D5" s="195"/>
      <c r="E5" s="195" t="s">
        <v>96</v>
      </c>
      <c r="F5" s="195" t="s">
        <v>46</v>
      </c>
      <c r="G5" s="195"/>
      <c r="H5" s="195" t="s">
        <v>47</v>
      </c>
      <c r="I5" s="195"/>
      <c r="J5" s="195" t="s">
        <v>48</v>
      </c>
      <c r="K5" s="195"/>
      <c r="L5" s="195" t="s">
        <v>49</v>
      </c>
      <c r="M5" s="195"/>
      <c r="N5" s="195" t="s">
        <v>50</v>
      </c>
      <c r="O5" s="271"/>
    </row>
    <row r="6" spans="2:15" x14ac:dyDescent="0.55000000000000004">
      <c r="B6" s="272"/>
      <c r="C6" s="151" t="s">
        <v>97</v>
      </c>
      <c r="D6" s="151" t="s">
        <v>98</v>
      </c>
      <c r="E6" s="195"/>
      <c r="F6" s="59" t="s">
        <v>99</v>
      </c>
      <c r="G6" s="59" t="s">
        <v>100</v>
      </c>
      <c r="H6" s="59" t="s">
        <v>99</v>
      </c>
      <c r="I6" s="59" t="s">
        <v>100</v>
      </c>
      <c r="J6" s="59" t="s">
        <v>99</v>
      </c>
      <c r="K6" s="59" t="s">
        <v>100</v>
      </c>
      <c r="L6" s="59" t="s">
        <v>99</v>
      </c>
      <c r="M6" s="59" t="s">
        <v>100</v>
      </c>
      <c r="N6" s="59" t="s">
        <v>99</v>
      </c>
      <c r="O6" s="60" t="s">
        <v>100</v>
      </c>
    </row>
    <row r="7" spans="2:15" x14ac:dyDescent="0.55000000000000004">
      <c r="B7" s="155">
        <v>2450</v>
      </c>
      <c r="C7" s="59">
        <v>51</v>
      </c>
      <c r="D7" s="59">
        <v>57</v>
      </c>
      <c r="E7" s="59">
        <v>0</v>
      </c>
      <c r="F7" s="59">
        <v>845</v>
      </c>
      <c r="G7" s="59">
        <v>1510</v>
      </c>
      <c r="H7" s="59">
        <v>910</v>
      </c>
      <c r="I7" s="59">
        <v>1625</v>
      </c>
      <c r="J7" s="59">
        <v>980</v>
      </c>
      <c r="K7" s="59">
        <v>1745</v>
      </c>
      <c r="L7" s="59">
        <v>1055</v>
      </c>
      <c r="M7" s="59">
        <v>1875</v>
      </c>
      <c r="N7" s="59">
        <v>1135</v>
      </c>
      <c r="O7" s="60">
        <v>2015</v>
      </c>
    </row>
    <row r="8" spans="2:15" x14ac:dyDescent="0.55000000000000004">
      <c r="B8" s="155"/>
      <c r="C8" s="59"/>
      <c r="D8" s="59"/>
      <c r="E8" s="59">
        <v>1000</v>
      </c>
      <c r="F8" s="59">
        <v>925</v>
      </c>
      <c r="G8" s="59">
        <v>1660</v>
      </c>
      <c r="H8" s="59">
        <v>1000</v>
      </c>
      <c r="I8" s="59">
        <v>1790</v>
      </c>
      <c r="J8" s="59">
        <v>1075</v>
      </c>
      <c r="K8" s="59">
        <v>1925</v>
      </c>
      <c r="L8" s="59">
        <v>1160</v>
      </c>
      <c r="M8" s="59">
        <v>2070</v>
      </c>
      <c r="N8" s="59">
        <v>1245</v>
      </c>
      <c r="O8" s="60">
        <v>2220</v>
      </c>
    </row>
    <row r="9" spans="2:15" x14ac:dyDescent="0.55000000000000004">
      <c r="B9" s="155"/>
      <c r="C9" s="59"/>
      <c r="D9" s="59"/>
      <c r="E9" s="59">
        <v>2000</v>
      </c>
      <c r="F9" s="59">
        <v>1015</v>
      </c>
      <c r="G9" s="59">
        <v>1830</v>
      </c>
      <c r="H9" s="59">
        <v>1095</v>
      </c>
      <c r="I9" s="59">
        <v>1970</v>
      </c>
      <c r="J9" s="59">
        <v>1185</v>
      </c>
      <c r="K9" s="59">
        <v>2125</v>
      </c>
      <c r="L9" s="59">
        <v>1275</v>
      </c>
      <c r="M9" s="59">
        <v>2290</v>
      </c>
      <c r="N9" s="59">
        <v>1365</v>
      </c>
      <c r="O9" s="60">
        <v>2455</v>
      </c>
    </row>
    <row r="10" spans="2:15" x14ac:dyDescent="0.55000000000000004">
      <c r="B10" s="155"/>
      <c r="C10" s="59"/>
      <c r="D10" s="59"/>
      <c r="E10" s="59">
        <v>3000</v>
      </c>
      <c r="F10" s="59">
        <v>1115</v>
      </c>
      <c r="G10" s="59">
        <v>2020</v>
      </c>
      <c r="H10" s="59">
        <v>1205</v>
      </c>
      <c r="I10" s="59">
        <v>2185</v>
      </c>
      <c r="J10" s="59">
        <v>1305</v>
      </c>
      <c r="K10" s="59">
        <v>2360</v>
      </c>
      <c r="L10" s="59">
        <v>1400</v>
      </c>
      <c r="M10" s="59">
        <v>2540</v>
      </c>
      <c r="N10" s="59">
        <v>1505</v>
      </c>
      <c r="O10" s="60">
        <v>2730</v>
      </c>
    </row>
    <row r="11" spans="2:15" x14ac:dyDescent="0.55000000000000004">
      <c r="B11" s="155"/>
      <c r="C11" s="59"/>
      <c r="D11" s="59"/>
      <c r="E11" s="59">
        <v>4000</v>
      </c>
      <c r="F11" s="59">
        <v>1230</v>
      </c>
      <c r="G11" s="59">
        <v>2245</v>
      </c>
      <c r="H11" s="59">
        <v>1330</v>
      </c>
      <c r="I11" s="59">
        <v>2430</v>
      </c>
      <c r="J11" s="59">
        <v>1435</v>
      </c>
      <c r="K11" s="59">
        <v>2630</v>
      </c>
      <c r="L11" s="59">
        <v>1545</v>
      </c>
      <c r="M11" s="59">
        <v>2830</v>
      </c>
      <c r="N11" s="59">
        <v>1655</v>
      </c>
      <c r="O11" s="60">
        <v>3045</v>
      </c>
    </row>
    <row r="12" spans="2:15" x14ac:dyDescent="0.55000000000000004">
      <c r="B12" s="155"/>
      <c r="C12" s="59"/>
      <c r="D12" s="59"/>
      <c r="E12" s="59">
        <v>5000</v>
      </c>
      <c r="F12" s="59">
        <v>1355</v>
      </c>
      <c r="G12" s="59">
        <v>2500</v>
      </c>
      <c r="H12" s="59">
        <v>1470</v>
      </c>
      <c r="I12" s="59">
        <v>2715</v>
      </c>
      <c r="J12" s="59">
        <v>1585</v>
      </c>
      <c r="K12" s="59">
        <v>2945</v>
      </c>
      <c r="L12" s="59">
        <v>1705</v>
      </c>
      <c r="M12" s="59">
        <v>3175</v>
      </c>
      <c r="N12" s="59">
        <v>1830</v>
      </c>
      <c r="O12" s="60">
        <v>3430</v>
      </c>
    </row>
    <row r="13" spans="2:15" x14ac:dyDescent="0.55000000000000004">
      <c r="B13" s="155"/>
      <c r="C13" s="59"/>
      <c r="D13" s="59"/>
      <c r="E13" s="59">
        <v>6000</v>
      </c>
      <c r="F13" s="59">
        <v>1500</v>
      </c>
      <c r="G13" s="59">
        <v>2805</v>
      </c>
      <c r="H13" s="59">
        <v>1625</v>
      </c>
      <c r="I13" s="59">
        <v>3060</v>
      </c>
      <c r="J13" s="59">
        <v>1750</v>
      </c>
      <c r="K13" s="59">
        <v>3315</v>
      </c>
      <c r="L13" s="59">
        <v>1880</v>
      </c>
      <c r="M13" s="59">
        <v>3590</v>
      </c>
      <c r="N13" s="59">
        <v>2020</v>
      </c>
      <c r="O13" s="60">
        <v>3895</v>
      </c>
    </row>
    <row r="14" spans="2:15" x14ac:dyDescent="0.55000000000000004">
      <c r="B14" s="155"/>
      <c r="C14" s="59"/>
      <c r="D14" s="59"/>
      <c r="E14" s="59">
        <v>7000</v>
      </c>
      <c r="F14" s="59">
        <v>1660</v>
      </c>
      <c r="G14" s="59">
        <v>3170</v>
      </c>
      <c r="H14" s="59">
        <v>1795</v>
      </c>
      <c r="I14" s="59">
        <v>3470</v>
      </c>
      <c r="J14" s="59">
        <v>1935</v>
      </c>
      <c r="K14" s="59">
        <v>3770</v>
      </c>
      <c r="L14" s="59">
        <v>2085</v>
      </c>
      <c r="M14" s="59">
        <v>4105</v>
      </c>
      <c r="N14" s="59">
        <v>2240</v>
      </c>
      <c r="O14" s="60">
        <v>4485</v>
      </c>
    </row>
    <row r="15" spans="2:15" x14ac:dyDescent="0.55000000000000004">
      <c r="B15" s="155"/>
      <c r="C15" s="59"/>
      <c r="D15" s="59"/>
      <c r="E15" s="59">
        <v>8000</v>
      </c>
      <c r="F15" s="59">
        <v>1840</v>
      </c>
      <c r="G15" s="59">
        <v>3620</v>
      </c>
      <c r="H15" s="59">
        <v>1995</v>
      </c>
      <c r="I15" s="59">
        <v>3975</v>
      </c>
      <c r="J15" s="59">
        <v>2150</v>
      </c>
      <c r="K15" s="59">
        <v>4345</v>
      </c>
      <c r="L15" s="59">
        <v>2315</v>
      </c>
      <c r="M15" s="59">
        <v>4775</v>
      </c>
      <c r="N15" s="147"/>
      <c r="O15" s="189"/>
    </row>
    <row r="16" spans="2:15" x14ac:dyDescent="0.55000000000000004">
      <c r="B16" s="155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0"/>
    </row>
    <row r="17" spans="2:15" x14ac:dyDescent="0.55000000000000004">
      <c r="B17" s="155" t="s">
        <v>101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60"/>
    </row>
    <row r="18" spans="2:15" x14ac:dyDescent="0.55000000000000004">
      <c r="B18" s="155">
        <v>1</v>
      </c>
      <c r="C18" s="59" t="s">
        <v>102</v>
      </c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0"/>
    </row>
    <row r="19" spans="2:15" x14ac:dyDescent="0.55000000000000004">
      <c r="B19" s="155">
        <v>2</v>
      </c>
      <c r="C19" s="59" t="s">
        <v>103</v>
      </c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60"/>
    </row>
    <row r="20" spans="2:15" x14ac:dyDescent="0.55000000000000004">
      <c r="B20" s="155">
        <v>3</v>
      </c>
      <c r="C20" s="59" t="s">
        <v>104</v>
      </c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60"/>
    </row>
    <row r="21" spans="2:15" ht="14.7" thickBot="1" x14ac:dyDescent="0.6">
      <c r="B21" s="156">
        <v>4</v>
      </c>
      <c r="C21" s="157" t="s">
        <v>105</v>
      </c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158"/>
    </row>
    <row r="22" spans="2:15" ht="14.7" thickBot="1" x14ac:dyDescent="0.6"/>
    <row r="23" spans="2:15" x14ac:dyDescent="0.55000000000000004">
      <c r="B23" s="153" t="s">
        <v>106</v>
      </c>
      <c r="C23" s="154" t="s">
        <v>156</v>
      </c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63" t="s">
        <v>121</v>
      </c>
    </row>
    <row r="24" spans="2:15" x14ac:dyDescent="0.55000000000000004">
      <c r="B24" s="272" t="s">
        <v>94</v>
      </c>
      <c r="C24" s="195" t="s">
        <v>107</v>
      </c>
      <c r="D24" s="195"/>
      <c r="E24" s="195" t="s">
        <v>96</v>
      </c>
      <c r="F24" s="195" t="s">
        <v>46</v>
      </c>
      <c r="G24" s="195"/>
      <c r="H24" s="195" t="s">
        <v>47</v>
      </c>
      <c r="I24" s="195"/>
      <c r="J24" s="195" t="s">
        <v>48</v>
      </c>
      <c r="K24" s="195"/>
      <c r="L24" s="195" t="s">
        <v>49</v>
      </c>
      <c r="M24" s="195"/>
      <c r="N24" s="195" t="s">
        <v>50</v>
      </c>
      <c r="O24" s="271"/>
    </row>
    <row r="25" spans="2:15" x14ac:dyDescent="0.55000000000000004">
      <c r="B25" s="272"/>
      <c r="C25" s="195"/>
      <c r="D25" s="195"/>
      <c r="E25" s="195"/>
      <c r="F25" s="59" t="s">
        <v>99</v>
      </c>
      <c r="G25" s="59" t="s">
        <v>100</v>
      </c>
      <c r="H25" s="59" t="s">
        <v>99</v>
      </c>
      <c r="I25" s="59" t="s">
        <v>100</v>
      </c>
      <c r="J25" s="59" t="s">
        <v>99</v>
      </c>
      <c r="K25" s="59" t="s">
        <v>100</v>
      </c>
      <c r="L25" s="59" t="s">
        <v>99</v>
      </c>
      <c r="M25" s="59" t="s">
        <v>100</v>
      </c>
      <c r="N25" s="59" t="s">
        <v>99</v>
      </c>
      <c r="O25" s="60" t="s">
        <v>100</v>
      </c>
    </row>
    <row r="26" spans="2:15" x14ac:dyDescent="0.55000000000000004">
      <c r="B26" s="155">
        <v>2450</v>
      </c>
      <c r="C26" s="195">
        <v>62</v>
      </c>
      <c r="D26" s="195"/>
      <c r="E26" s="59">
        <v>0</v>
      </c>
      <c r="F26" s="59">
        <v>525</v>
      </c>
      <c r="G26" s="59">
        <v>1250</v>
      </c>
      <c r="H26" s="59">
        <v>540</v>
      </c>
      <c r="I26" s="59">
        <v>1280</v>
      </c>
      <c r="J26" s="59">
        <v>560</v>
      </c>
      <c r="K26" s="59">
        <v>1310</v>
      </c>
      <c r="L26" s="59">
        <v>580</v>
      </c>
      <c r="M26" s="59">
        <v>1340</v>
      </c>
      <c r="N26" s="59">
        <v>600</v>
      </c>
      <c r="O26" s="60">
        <v>1370</v>
      </c>
    </row>
    <row r="27" spans="2:15" x14ac:dyDescent="0.55000000000000004">
      <c r="B27" s="155"/>
      <c r="C27" s="59"/>
      <c r="D27" s="59"/>
      <c r="E27" s="59">
        <v>1000</v>
      </c>
      <c r="F27" s="59">
        <v>545</v>
      </c>
      <c r="G27" s="59">
        <v>1280</v>
      </c>
      <c r="H27" s="59">
        <v>560</v>
      </c>
      <c r="I27" s="59">
        <v>1310</v>
      </c>
      <c r="J27" s="59">
        <v>580</v>
      </c>
      <c r="K27" s="59">
        <v>1345</v>
      </c>
      <c r="L27" s="59">
        <v>600</v>
      </c>
      <c r="M27" s="59">
        <v>1375</v>
      </c>
      <c r="N27" s="59">
        <v>620</v>
      </c>
      <c r="O27" s="60">
        <v>1405</v>
      </c>
    </row>
    <row r="28" spans="2:15" x14ac:dyDescent="0.55000000000000004">
      <c r="B28" s="155"/>
      <c r="C28" s="59"/>
      <c r="D28" s="59"/>
      <c r="E28" s="59">
        <v>2000</v>
      </c>
      <c r="F28" s="59">
        <v>565</v>
      </c>
      <c r="G28" s="59">
        <v>1310</v>
      </c>
      <c r="H28" s="59">
        <v>585</v>
      </c>
      <c r="I28" s="59">
        <v>1345</v>
      </c>
      <c r="J28" s="59">
        <v>605</v>
      </c>
      <c r="K28" s="59">
        <v>1375</v>
      </c>
      <c r="L28" s="59">
        <v>625</v>
      </c>
      <c r="M28" s="59">
        <v>1410</v>
      </c>
      <c r="N28" s="59">
        <v>645</v>
      </c>
      <c r="O28" s="60">
        <v>1440</v>
      </c>
    </row>
    <row r="29" spans="2:15" x14ac:dyDescent="0.55000000000000004">
      <c r="B29" s="155"/>
      <c r="C29" s="59"/>
      <c r="D29" s="59"/>
      <c r="E29" s="59">
        <v>3000</v>
      </c>
      <c r="F29" s="59">
        <v>585</v>
      </c>
      <c r="G29" s="59">
        <v>1345</v>
      </c>
      <c r="H29" s="59">
        <v>605</v>
      </c>
      <c r="I29" s="59">
        <v>1380</v>
      </c>
      <c r="J29" s="59">
        <v>625</v>
      </c>
      <c r="K29" s="59">
        <v>1415</v>
      </c>
      <c r="L29" s="59">
        <v>650</v>
      </c>
      <c r="M29" s="59">
        <v>1445</v>
      </c>
      <c r="N29" s="59">
        <v>670</v>
      </c>
      <c r="O29" s="60">
        <v>1480</v>
      </c>
    </row>
    <row r="30" spans="2:15" x14ac:dyDescent="0.55000000000000004">
      <c r="B30" s="155"/>
      <c r="C30" s="59"/>
      <c r="D30" s="59"/>
      <c r="E30" s="59">
        <v>4000</v>
      </c>
      <c r="F30" s="59">
        <v>605</v>
      </c>
      <c r="G30" s="59">
        <v>1380</v>
      </c>
      <c r="H30" s="59">
        <v>630</v>
      </c>
      <c r="I30" s="59">
        <v>1415</v>
      </c>
      <c r="J30" s="59">
        <v>650</v>
      </c>
      <c r="K30" s="59">
        <v>1450</v>
      </c>
      <c r="L30" s="59">
        <v>670</v>
      </c>
      <c r="M30" s="59">
        <v>1485</v>
      </c>
      <c r="N30" s="59">
        <v>695</v>
      </c>
      <c r="O30" s="60">
        <v>1520</v>
      </c>
    </row>
    <row r="31" spans="2:15" x14ac:dyDescent="0.55000000000000004">
      <c r="B31" s="155"/>
      <c r="C31" s="59"/>
      <c r="D31" s="59"/>
      <c r="E31" s="59">
        <v>5000</v>
      </c>
      <c r="F31" s="59">
        <v>630</v>
      </c>
      <c r="G31" s="59">
        <v>1415</v>
      </c>
      <c r="H31" s="59">
        <v>650</v>
      </c>
      <c r="I31" s="59">
        <v>1455</v>
      </c>
      <c r="J31" s="59">
        <v>675</v>
      </c>
      <c r="K31" s="59">
        <v>1490</v>
      </c>
      <c r="L31" s="59">
        <v>700</v>
      </c>
      <c r="M31" s="59">
        <v>1525</v>
      </c>
      <c r="N31" s="59">
        <v>720</v>
      </c>
      <c r="O31" s="60">
        <v>1560</v>
      </c>
    </row>
    <row r="32" spans="2:15" x14ac:dyDescent="0.55000000000000004">
      <c r="B32" s="155"/>
      <c r="C32" s="59"/>
      <c r="D32" s="59"/>
      <c r="E32" s="59">
        <v>6000</v>
      </c>
      <c r="F32" s="59">
        <v>655</v>
      </c>
      <c r="G32" s="59">
        <v>1455</v>
      </c>
      <c r="H32" s="59">
        <v>675</v>
      </c>
      <c r="I32" s="59">
        <v>1490</v>
      </c>
      <c r="J32" s="59">
        <v>700</v>
      </c>
      <c r="K32" s="59">
        <v>1530</v>
      </c>
      <c r="L32" s="59">
        <v>725</v>
      </c>
      <c r="M32" s="59">
        <v>1565</v>
      </c>
      <c r="N32" s="59">
        <v>750</v>
      </c>
      <c r="O32" s="60">
        <v>1605</v>
      </c>
    </row>
    <row r="33" spans="2:15" x14ac:dyDescent="0.55000000000000004">
      <c r="B33" s="155"/>
      <c r="C33" s="59"/>
      <c r="D33" s="59"/>
      <c r="E33" s="59">
        <v>7000</v>
      </c>
      <c r="F33" s="59">
        <v>680</v>
      </c>
      <c r="G33" s="59">
        <v>1495</v>
      </c>
      <c r="H33" s="59">
        <v>705</v>
      </c>
      <c r="I33" s="59">
        <v>1535</v>
      </c>
      <c r="J33" s="59">
        <v>730</v>
      </c>
      <c r="K33" s="59">
        <v>1570</v>
      </c>
      <c r="L33" s="59">
        <v>755</v>
      </c>
      <c r="M33" s="59">
        <v>1610</v>
      </c>
      <c r="N33" s="59">
        <v>775</v>
      </c>
      <c r="O33" s="60">
        <v>1650</v>
      </c>
    </row>
    <row r="34" spans="2:15" x14ac:dyDescent="0.55000000000000004">
      <c r="B34" s="155"/>
      <c r="C34" s="59"/>
      <c r="D34" s="59"/>
      <c r="E34" s="59">
        <v>8000</v>
      </c>
      <c r="F34" s="59">
        <v>705</v>
      </c>
      <c r="G34" s="59">
        <v>1535</v>
      </c>
      <c r="H34" s="59">
        <v>730</v>
      </c>
      <c r="I34" s="59">
        <v>1575</v>
      </c>
      <c r="J34" s="59">
        <v>755</v>
      </c>
      <c r="K34" s="59">
        <v>1615</v>
      </c>
      <c r="L34" s="59">
        <v>780</v>
      </c>
      <c r="M34" s="59">
        <v>1655</v>
      </c>
      <c r="N34" s="59">
        <v>810</v>
      </c>
      <c r="O34" s="60">
        <v>1695</v>
      </c>
    </row>
    <row r="35" spans="2:15" x14ac:dyDescent="0.55000000000000004">
      <c r="B35" s="155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60"/>
    </row>
    <row r="36" spans="2:15" x14ac:dyDescent="0.55000000000000004">
      <c r="B36" s="155" t="s">
        <v>101</v>
      </c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60"/>
    </row>
    <row r="37" spans="2:15" x14ac:dyDescent="0.55000000000000004">
      <c r="B37" s="155">
        <v>1</v>
      </c>
      <c r="C37" s="59" t="s">
        <v>108</v>
      </c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60"/>
    </row>
    <row r="38" spans="2:15" ht="14.7" thickBot="1" x14ac:dyDescent="0.6">
      <c r="B38" s="156">
        <v>2</v>
      </c>
      <c r="C38" s="157" t="s">
        <v>109</v>
      </c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8"/>
    </row>
    <row r="39" spans="2:15" ht="14.7" thickBot="1" x14ac:dyDescent="0.6"/>
    <row r="40" spans="2:15" ht="14.7" thickBot="1" x14ac:dyDescent="0.6">
      <c r="B40" s="159" t="s">
        <v>110</v>
      </c>
      <c r="C40" s="160"/>
      <c r="D40" s="160"/>
      <c r="E40" s="160"/>
      <c r="F40" s="160">
        <v>1.1000000000000001</v>
      </c>
      <c r="G40" s="160" t="s">
        <v>83</v>
      </c>
      <c r="H40" s="160"/>
      <c r="I40" s="160"/>
      <c r="J40" s="160"/>
      <c r="K40" s="160"/>
      <c r="L40" s="160"/>
      <c r="M40" s="160"/>
      <c r="N40" s="160"/>
      <c r="O40" s="171" t="s">
        <v>127</v>
      </c>
    </row>
    <row r="41" spans="2:15" ht="14.7" thickBot="1" x14ac:dyDescent="0.6"/>
    <row r="42" spans="2:15" x14ac:dyDescent="0.55000000000000004">
      <c r="B42" s="153" t="s">
        <v>126</v>
      </c>
      <c r="C42" s="154" t="s">
        <v>158</v>
      </c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63" t="s">
        <v>159</v>
      </c>
    </row>
    <row r="43" spans="2:15" x14ac:dyDescent="0.55000000000000004">
      <c r="B43" s="155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60"/>
    </row>
    <row r="44" spans="2:15" x14ac:dyDescent="0.55000000000000004">
      <c r="B44" s="272" t="s">
        <v>128</v>
      </c>
      <c r="C44" s="195" t="s">
        <v>129</v>
      </c>
      <c r="D44" s="195" t="s">
        <v>130</v>
      </c>
      <c r="E44" s="195"/>
      <c r="F44" s="195"/>
      <c r="G44" s="195" t="s">
        <v>131</v>
      </c>
      <c r="H44" s="195"/>
      <c r="I44" s="195"/>
      <c r="J44" s="195" t="s">
        <v>132</v>
      </c>
      <c r="K44" s="195"/>
      <c r="L44" s="195"/>
      <c r="M44" s="59"/>
      <c r="N44" s="59"/>
      <c r="O44" s="60"/>
    </row>
    <row r="45" spans="2:15" x14ac:dyDescent="0.55000000000000004">
      <c r="B45" s="272"/>
      <c r="C45" s="195"/>
      <c r="D45" s="59" t="s">
        <v>65</v>
      </c>
      <c r="E45" s="59" t="s">
        <v>63</v>
      </c>
      <c r="F45" s="59" t="s">
        <v>64</v>
      </c>
      <c r="G45" s="59" t="s">
        <v>65</v>
      </c>
      <c r="H45" s="59" t="s">
        <v>63</v>
      </c>
      <c r="I45" s="59" t="s">
        <v>64</v>
      </c>
      <c r="J45" s="59" t="s">
        <v>65</v>
      </c>
      <c r="K45" s="59" t="s">
        <v>63</v>
      </c>
      <c r="L45" s="59" t="s">
        <v>64</v>
      </c>
      <c r="M45" s="59"/>
      <c r="N45" s="59"/>
      <c r="O45" s="60"/>
    </row>
    <row r="46" spans="2:15" x14ac:dyDescent="0.55000000000000004">
      <c r="B46" s="155">
        <v>2000</v>
      </c>
      <c r="C46" s="59">
        <v>2250</v>
      </c>
      <c r="D46" s="147" t="s">
        <v>157</v>
      </c>
      <c r="E46" s="147" t="s">
        <v>157</v>
      </c>
      <c r="F46" s="147" t="s">
        <v>157</v>
      </c>
      <c r="G46" s="27">
        <v>79</v>
      </c>
      <c r="H46" s="27">
        <v>115</v>
      </c>
      <c r="I46" s="187">
        <v>9</v>
      </c>
      <c r="J46" s="27">
        <v>74</v>
      </c>
      <c r="K46" s="27">
        <v>114</v>
      </c>
      <c r="L46" s="27">
        <v>8.5</v>
      </c>
      <c r="M46" s="59"/>
      <c r="N46" s="59"/>
      <c r="O46" s="60"/>
    </row>
    <row r="47" spans="2:15" x14ac:dyDescent="0.55000000000000004">
      <c r="B47" s="155"/>
      <c r="C47" s="59">
        <v>2200</v>
      </c>
      <c r="D47" s="59">
        <v>79</v>
      </c>
      <c r="E47" s="59">
        <v>112</v>
      </c>
      <c r="F47" s="27">
        <v>9.1</v>
      </c>
      <c r="G47" s="27">
        <v>74</v>
      </c>
      <c r="H47" s="27">
        <v>112</v>
      </c>
      <c r="I47" s="27">
        <v>8.5</v>
      </c>
      <c r="J47" s="27">
        <v>70</v>
      </c>
      <c r="K47" s="27">
        <v>111</v>
      </c>
      <c r="L47" s="187">
        <v>8</v>
      </c>
      <c r="M47" s="59"/>
      <c r="N47" s="59"/>
      <c r="O47" s="60"/>
    </row>
    <row r="48" spans="2:15" x14ac:dyDescent="0.55000000000000004">
      <c r="B48" s="155"/>
      <c r="C48" s="59">
        <v>2100</v>
      </c>
      <c r="D48" s="59">
        <v>69</v>
      </c>
      <c r="E48" s="59">
        <v>107</v>
      </c>
      <c r="F48" s="27">
        <v>7.9</v>
      </c>
      <c r="G48" s="27">
        <v>65</v>
      </c>
      <c r="H48" s="27">
        <v>106</v>
      </c>
      <c r="I48" s="27">
        <v>7.5</v>
      </c>
      <c r="J48" s="27">
        <v>62</v>
      </c>
      <c r="K48" s="27">
        <v>105</v>
      </c>
      <c r="L48" s="27">
        <v>7.1</v>
      </c>
      <c r="M48" s="59"/>
      <c r="N48" s="59"/>
      <c r="O48" s="60"/>
    </row>
    <row r="49" spans="2:15" x14ac:dyDescent="0.55000000000000004">
      <c r="B49" s="155"/>
      <c r="C49" s="59">
        <v>2000</v>
      </c>
      <c r="D49" s="27">
        <v>61</v>
      </c>
      <c r="E49" s="27">
        <v>101</v>
      </c>
      <c r="F49" s="27">
        <v>7</v>
      </c>
      <c r="G49" s="27">
        <v>58</v>
      </c>
      <c r="H49" s="27">
        <v>99</v>
      </c>
      <c r="I49" s="27">
        <v>6.6</v>
      </c>
      <c r="J49" s="27">
        <v>55</v>
      </c>
      <c r="K49" s="27">
        <v>97</v>
      </c>
      <c r="L49" s="27">
        <v>6.4</v>
      </c>
      <c r="M49" s="59"/>
      <c r="N49" s="59"/>
      <c r="O49" s="60"/>
    </row>
    <row r="50" spans="2:15" x14ac:dyDescent="0.55000000000000004">
      <c r="B50" s="155"/>
      <c r="C50" s="59">
        <v>1900</v>
      </c>
      <c r="D50" s="27">
        <v>54</v>
      </c>
      <c r="E50" s="27">
        <v>94</v>
      </c>
      <c r="F50" s="27">
        <v>6.2</v>
      </c>
      <c r="G50" s="27">
        <v>51</v>
      </c>
      <c r="H50" s="27">
        <v>91</v>
      </c>
      <c r="I50" s="27">
        <v>5.9</v>
      </c>
      <c r="J50" s="27">
        <v>50</v>
      </c>
      <c r="K50" s="27">
        <v>89</v>
      </c>
      <c r="L50" s="27">
        <v>5.8</v>
      </c>
      <c r="M50" s="59"/>
      <c r="N50" s="59"/>
      <c r="O50" s="60"/>
    </row>
    <row r="51" spans="2:15" x14ac:dyDescent="0.55000000000000004">
      <c r="B51" s="155">
        <v>4000</v>
      </c>
      <c r="C51" s="59">
        <v>2300</v>
      </c>
      <c r="D51" s="188" t="s">
        <v>157</v>
      </c>
      <c r="E51" s="188" t="s">
        <v>157</v>
      </c>
      <c r="F51" s="188" t="s">
        <v>157</v>
      </c>
      <c r="G51" s="27">
        <v>79</v>
      </c>
      <c r="H51" s="27">
        <v>117</v>
      </c>
      <c r="I51" s="27">
        <v>9.1</v>
      </c>
      <c r="J51" s="27">
        <v>75</v>
      </c>
      <c r="K51" s="27">
        <v>117</v>
      </c>
      <c r="L51" s="59">
        <v>8.6</v>
      </c>
      <c r="M51" s="59"/>
      <c r="N51" s="59"/>
      <c r="O51" s="60"/>
    </row>
    <row r="52" spans="2:15" x14ac:dyDescent="0.55000000000000004">
      <c r="B52" s="155"/>
      <c r="C52" s="59">
        <v>2250</v>
      </c>
      <c r="D52" s="27">
        <v>80</v>
      </c>
      <c r="E52" s="27">
        <v>115</v>
      </c>
      <c r="F52" s="27">
        <v>9.1999999999999993</v>
      </c>
      <c r="G52" s="27">
        <v>75</v>
      </c>
      <c r="H52" s="27">
        <v>114</v>
      </c>
      <c r="I52" s="27">
        <v>8.6</v>
      </c>
      <c r="J52" s="27">
        <v>70</v>
      </c>
      <c r="K52" s="27">
        <v>114</v>
      </c>
      <c r="L52" s="27">
        <v>8.1</v>
      </c>
      <c r="M52" s="59"/>
      <c r="N52" s="59"/>
      <c r="O52" s="60"/>
    </row>
    <row r="53" spans="2:15" x14ac:dyDescent="0.55000000000000004">
      <c r="B53" s="155"/>
      <c r="C53" s="59">
        <v>2200</v>
      </c>
      <c r="D53" s="27">
        <v>75</v>
      </c>
      <c r="E53" s="27">
        <v>112</v>
      </c>
      <c r="F53" s="27">
        <v>8.6</v>
      </c>
      <c r="G53" s="27">
        <v>70</v>
      </c>
      <c r="H53" s="27">
        <v>111</v>
      </c>
      <c r="I53" s="27">
        <v>8.1</v>
      </c>
      <c r="J53" s="27">
        <v>66</v>
      </c>
      <c r="K53" s="27">
        <v>110</v>
      </c>
      <c r="L53" s="27">
        <v>7.6</v>
      </c>
      <c r="M53" s="59"/>
      <c r="N53" s="59"/>
      <c r="O53" s="60"/>
    </row>
    <row r="54" spans="2:15" x14ac:dyDescent="0.55000000000000004">
      <c r="B54" s="155"/>
      <c r="C54" s="59">
        <v>2100</v>
      </c>
      <c r="D54" s="27">
        <v>66</v>
      </c>
      <c r="E54" s="27">
        <v>106</v>
      </c>
      <c r="F54" s="27">
        <v>7.6</v>
      </c>
      <c r="G54" s="27">
        <v>62</v>
      </c>
      <c r="H54" s="27">
        <v>105</v>
      </c>
      <c r="I54" s="27">
        <v>7.1</v>
      </c>
      <c r="J54" s="27">
        <v>59</v>
      </c>
      <c r="K54" s="27">
        <v>103</v>
      </c>
      <c r="L54" s="27">
        <v>6.8</v>
      </c>
      <c r="M54" s="59"/>
      <c r="N54" s="59"/>
      <c r="O54" s="60"/>
    </row>
    <row r="55" spans="2:15" x14ac:dyDescent="0.55000000000000004">
      <c r="B55" s="155"/>
      <c r="C55" s="59">
        <v>2000</v>
      </c>
      <c r="D55" s="27">
        <v>58</v>
      </c>
      <c r="E55" s="27">
        <v>100</v>
      </c>
      <c r="F55" s="27">
        <v>6.7</v>
      </c>
      <c r="G55" s="27">
        <v>55</v>
      </c>
      <c r="H55" s="27">
        <v>98</v>
      </c>
      <c r="I55" s="27">
        <v>6.4</v>
      </c>
      <c r="J55" s="27">
        <v>53</v>
      </c>
      <c r="K55" s="27">
        <v>95</v>
      </c>
      <c r="L55" s="27">
        <v>6.2</v>
      </c>
      <c r="M55" s="59"/>
      <c r="N55" s="59"/>
      <c r="O55" s="60"/>
    </row>
    <row r="56" spans="2:15" x14ac:dyDescent="0.55000000000000004">
      <c r="B56" s="155"/>
      <c r="C56" s="27">
        <v>1900</v>
      </c>
      <c r="D56" s="27">
        <v>52</v>
      </c>
      <c r="E56" s="27">
        <v>92</v>
      </c>
      <c r="F56" s="27">
        <v>6</v>
      </c>
      <c r="G56" s="27">
        <v>50</v>
      </c>
      <c r="H56" s="27">
        <v>90</v>
      </c>
      <c r="I56" s="27">
        <v>5.8</v>
      </c>
      <c r="J56" s="27">
        <v>49</v>
      </c>
      <c r="K56" s="27">
        <v>87</v>
      </c>
      <c r="L56" s="27">
        <v>5.6</v>
      </c>
      <c r="M56" s="59"/>
      <c r="N56" s="59"/>
      <c r="O56" s="60"/>
    </row>
    <row r="57" spans="2:15" x14ac:dyDescent="0.55000000000000004">
      <c r="B57" s="155">
        <v>6000</v>
      </c>
      <c r="C57" s="59">
        <v>2350</v>
      </c>
      <c r="D57" s="188" t="s">
        <v>157</v>
      </c>
      <c r="E57" s="188" t="s">
        <v>157</v>
      </c>
      <c r="F57" s="188" t="s">
        <v>157</v>
      </c>
      <c r="G57" s="27">
        <v>80</v>
      </c>
      <c r="H57" s="27">
        <v>120</v>
      </c>
      <c r="I57" s="27">
        <v>9.1999999999999993</v>
      </c>
      <c r="J57" s="27">
        <v>75</v>
      </c>
      <c r="K57" s="27">
        <v>119</v>
      </c>
      <c r="L57" s="27">
        <v>8.6</v>
      </c>
      <c r="M57" s="59"/>
      <c r="N57" s="59"/>
      <c r="O57" s="60"/>
    </row>
    <row r="58" spans="2:15" x14ac:dyDescent="0.55000000000000004">
      <c r="B58" s="155"/>
      <c r="C58" s="59">
        <v>2300</v>
      </c>
      <c r="D58" s="46">
        <v>80</v>
      </c>
      <c r="E58" s="46">
        <v>117</v>
      </c>
      <c r="F58" s="46">
        <v>9.1999999999999993</v>
      </c>
      <c r="G58" s="27">
        <v>75</v>
      </c>
      <c r="H58" s="27">
        <v>117</v>
      </c>
      <c r="I58" s="27">
        <v>8.6</v>
      </c>
      <c r="J58" s="27">
        <v>71</v>
      </c>
      <c r="K58" s="27">
        <v>116</v>
      </c>
      <c r="L58" s="27">
        <v>8.1</v>
      </c>
      <c r="M58" s="59"/>
      <c r="N58" s="59"/>
      <c r="O58" s="60"/>
    </row>
    <row r="59" spans="2:15" x14ac:dyDescent="0.55000000000000004">
      <c r="B59" s="155"/>
      <c r="C59" s="59">
        <v>2250</v>
      </c>
      <c r="D59" s="46">
        <v>76</v>
      </c>
      <c r="E59" s="46">
        <v>115</v>
      </c>
      <c r="F59" s="46">
        <v>8.6999999999999993</v>
      </c>
      <c r="G59" s="27">
        <v>71</v>
      </c>
      <c r="H59" s="27">
        <v>114</v>
      </c>
      <c r="I59" s="27">
        <v>8.1</v>
      </c>
      <c r="J59" s="27">
        <v>67</v>
      </c>
      <c r="K59" s="27">
        <v>113</v>
      </c>
      <c r="L59" s="27">
        <v>7.7</v>
      </c>
      <c r="M59" s="59"/>
      <c r="N59" s="59"/>
      <c r="O59" s="60"/>
    </row>
    <row r="60" spans="2:15" x14ac:dyDescent="0.55000000000000004">
      <c r="B60" s="155"/>
      <c r="C60" s="59">
        <v>2200</v>
      </c>
      <c r="D60" s="46">
        <v>71</v>
      </c>
      <c r="E60" s="46">
        <v>112</v>
      </c>
      <c r="F60" s="46">
        <v>8.1</v>
      </c>
      <c r="G60" s="27">
        <v>67</v>
      </c>
      <c r="H60" s="27">
        <v>111</v>
      </c>
      <c r="I60" s="27">
        <v>7.7</v>
      </c>
      <c r="J60" s="27">
        <v>64</v>
      </c>
      <c r="K60" s="27">
        <v>109</v>
      </c>
      <c r="L60" s="27">
        <v>7.3</v>
      </c>
      <c r="M60" s="59"/>
      <c r="N60" s="59"/>
      <c r="O60" s="60"/>
    </row>
    <row r="61" spans="2:15" x14ac:dyDescent="0.55000000000000004">
      <c r="B61" s="155"/>
      <c r="C61" s="59">
        <v>2100</v>
      </c>
      <c r="D61" s="46">
        <v>63</v>
      </c>
      <c r="E61" s="46">
        <v>105</v>
      </c>
      <c r="F61" s="46">
        <v>7.2</v>
      </c>
      <c r="G61" s="27">
        <v>60</v>
      </c>
      <c r="H61" s="27">
        <v>104</v>
      </c>
      <c r="I61" s="27">
        <v>6.9</v>
      </c>
      <c r="J61" s="27">
        <v>57</v>
      </c>
      <c r="K61" s="27">
        <v>101</v>
      </c>
      <c r="L61" s="27">
        <v>6.6</v>
      </c>
      <c r="M61" s="59"/>
      <c r="N61" s="59"/>
      <c r="O61" s="60"/>
    </row>
    <row r="62" spans="2:15" x14ac:dyDescent="0.55000000000000004">
      <c r="B62" s="155"/>
      <c r="C62" s="59">
        <v>2000</v>
      </c>
      <c r="D62" s="46">
        <v>56</v>
      </c>
      <c r="E62" s="46">
        <v>98</v>
      </c>
      <c r="F62" s="46">
        <v>6.4</v>
      </c>
      <c r="G62" s="27">
        <v>53</v>
      </c>
      <c r="H62" s="27">
        <v>96</v>
      </c>
      <c r="I62" s="27">
        <v>6.2</v>
      </c>
      <c r="J62" s="27">
        <v>52</v>
      </c>
      <c r="K62" s="27">
        <v>93</v>
      </c>
      <c r="L62" s="27">
        <v>6</v>
      </c>
      <c r="M62" s="59"/>
      <c r="N62" s="59"/>
      <c r="O62" s="60"/>
    </row>
    <row r="63" spans="2:15" x14ac:dyDescent="0.55000000000000004">
      <c r="B63" s="155">
        <v>8000</v>
      </c>
      <c r="C63" s="59">
        <v>2400</v>
      </c>
      <c r="D63" s="188" t="s">
        <v>157</v>
      </c>
      <c r="E63" s="188" t="s">
        <v>157</v>
      </c>
      <c r="F63" s="188" t="s">
        <v>157</v>
      </c>
      <c r="G63" s="27">
        <v>80</v>
      </c>
      <c r="H63" s="27">
        <v>122</v>
      </c>
      <c r="I63" s="27">
        <v>9.1999999999999993</v>
      </c>
      <c r="J63" s="27">
        <v>76</v>
      </c>
      <c r="K63" s="27">
        <v>121</v>
      </c>
      <c r="L63" s="27">
        <v>8.6999999999999993</v>
      </c>
      <c r="M63" s="59"/>
      <c r="N63" s="59"/>
      <c r="O63" s="60"/>
    </row>
    <row r="64" spans="2:15" x14ac:dyDescent="0.55000000000000004">
      <c r="B64" s="155"/>
      <c r="C64" s="59">
        <v>2350</v>
      </c>
      <c r="D64" s="27">
        <v>81</v>
      </c>
      <c r="E64" s="27">
        <v>120</v>
      </c>
      <c r="F64" s="27">
        <v>9.3000000000000007</v>
      </c>
      <c r="G64" s="27">
        <v>76</v>
      </c>
      <c r="H64" s="27">
        <v>119</v>
      </c>
      <c r="I64" s="27">
        <v>8.6999999999999993</v>
      </c>
      <c r="J64" s="27">
        <v>71</v>
      </c>
      <c r="K64" s="27">
        <v>118</v>
      </c>
      <c r="L64" s="27">
        <v>8.1999999999999993</v>
      </c>
      <c r="M64" s="59"/>
      <c r="N64" s="59"/>
      <c r="O64" s="60"/>
    </row>
    <row r="65" spans="2:15" x14ac:dyDescent="0.55000000000000004">
      <c r="B65" s="155"/>
      <c r="C65" s="59">
        <v>2300</v>
      </c>
      <c r="D65" s="27">
        <v>76</v>
      </c>
      <c r="E65" s="27">
        <v>117</v>
      </c>
      <c r="F65" s="27">
        <v>8.6999999999999993</v>
      </c>
      <c r="G65" s="27">
        <v>71</v>
      </c>
      <c r="H65" s="27">
        <v>116</v>
      </c>
      <c r="I65" s="27">
        <v>8.1999999999999993</v>
      </c>
      <c r="J65" s="27">
        <v>68</v>
      </c>
      <c r="K65" s="27">
        <v>115</v>
      </c>
      <c r="L65" s="27">
        <v>7.8</v>
      </c>
      <c r="M65" s="59"/>
      <c r="N65" s="59"/>
      <c r="O65" s="60"/>
    </row>
    <row r="66" spans="2:15" x14ac:dyDescent="0.55000000000000004">
      <c r="B66" s="155"/>
      <c r="C66" s="59">
        <v>2200</v>
      </c>
      <c r="D66" s="27">
        <v>68</v>
      </c>
      <c r="E66" s="27">
        <v>111</v>
      </c>
      <c r="F66" s="27">
        <v>7.7</v>
      </c>
      <c r="G66" s="27">
        <v>64</v>
      </c>
      <c r="H66" s="27">
        <v>110</v>
      </c>
      <c r="I66" s="27">
        <v>7.3</v>
      </c>
      <c r="J66" s="27">
        <v>61</v>
      </c>
      <c r="K66" s="27">
        <v>107</v>
      </c>
      <c r="L66" s="27">
        <v>7</v>
      </c>
      <c r="M66" s="59"/>
      <c r="N66" s="59"/>
      <c r="O66" s="60"/>
    </row>
    <row r="67" spans="2:15" x14ac:dyDescent="0.55000000000000004">
      <c r="B67" s="155"/>
      <c r="C67" s="59">
        <v>2100</v>
      </c>
      <c r="D67" s="27">
        <v>60</v>
      </c>
      <c r="E67" s="27">
        <v>104</v>
      </c>
      <c r="F67" s="27">
        <v>6.9</v>
      </c>
      <c r="G67" s="27">
        <v>57</v>
      </c>
      <c r="H67" s="27">
        <v>102</v>
      </c>
      <c r="I67" s="27">
        <v>6.6</v>
      </c>
      <c r="J67" s="27">
        <v>55</v>
      </c>
      <c r="K67" s="27">
        <v>99</v>
      </c>
      <c r="L67" s="27">
        <v>6.4</v>
      </c>
      <c r="M67" s="59"/>
      <c r="N67" s="59"/>
      <c r="O67" s="60"/>
    </row>
    <row r="68" spans="2:15" x14ac:dyDescent="0.55000000000000004">
      <c r="B68" s="155"/>
      <c r="C68" s="59">
        <v>2000</v>
      </c>
      <c r="D68" s="27">
        <v>54</v>
      </c>
      <c r="E68" s="27">
        <v>96</v>
      </c>
      <c r="F68" s="27">
        <v>6.2</v>
      </c>
      <c r="G68" s="27">
        <v>52</v>
      </c>
      <c r="H68" s="27">
        <v>94</v>
      </c>
      <c r="I68" s="27">
        <v>6</v>
      </c>
      <c r="J68" s="27">
        <v>51</v>
      </c>
      <c r="K68" s="27">
        <v>91</v>
      </c>
      <c r="L68" s="27">
        <v>5.9</v>
      </c>
      <c r="M68" s="59"/>
      <c r="N68" s="59"/>
      <c r="O68" s="60"/>
    </row>
    <row r="69" spans="2:15" x14ac:dyDescent="0.55000000000000004">
      <c r="B69" s="155">
        <v>10000</v>
      </c>
      <c r="C69" s="59">
        <v>2350</v>
      </c>
      <c r="D69" s="27">
        <v>76</v>
      </c>
      <c r="E69" s="27">
        <v>119</v>
      </c>
      <c r="F69" s="27">
        <v>8.8000000000000007</v>
      </c>
      <c r="G69" s="27">
        <v>72</v>
      </c>
      <c r="H69" s="27">
        <v>118</v>
      </c>
      <c r="I69" s="27">
        <v>8.1999999999999993</v>
      </c>
      <c r="J69" s="27">
        <v>68</v>
      </c>
      <c r="K69" s="27">
        <v>117</v>
      </c>
      <c r="L69" s="27">
        <v>7.8</v>
      </c>
      <c r="M69" s="59"/>
      <c r="N69" s="59"/>
      <c r="O69" s="60"/>
    </row>
    <row r="70" spans="2:15" x14ac:dyDescent="0.55000000000000004">
      <c r="B70" s="155"/>
      <c r="C70" s="59">
        <v>2300</v>
      </c>
      <c r="D70" s="27">
        <v>72</v>
      </c>
      <c r="E70" s="27">
        <v>116</v>
      </c>
      <c r="F70" s="27">
        <v>8.3000000000000007</v>
      </c>
      <c r="G70" s="27">
        <v>68</v>
      </c>
      <c r="H70" s="27">
        <v>115</v>
      </c>
      <c r="I70" s="27">
        <v>7.8</v>
      </c>
      <c r="J70" s="27">
        <v>65</v>
      </c>
      <c r="K70" s="27">
        <v>113</v>
      </c>
      <c r="L70" s="27">
        <v>7.4</v>
      </c>
      <c r="M70" s="59"/>
      <c r="N70" s="59"/>
      <c r="O70" s="60"/>
    </row>
    <row r="71" spans="2:15" x14ac:dyDescent="0.55000000000000004">
      <c r="B71" s="155"/>
      <c r="C71" s="59">
        <v>2250</v>
      </c>
      <c r="D71" s="27">
        <v>68</v>
      </c>
      <c r="E71" s="27">
        <v>113</v>
      </c>
      <c r="F71" s="27">
        <v>7.8</v>
      </c>
      <c r="G71" s="27">
        <v>65</v>
      </c>
      <c r="H71" s="27">
        <v>112</v>
      </c>
      <c r="I71" s="27">
        <v>7.4</v>
      </c>
      <c r="J71" s="27">
        <v>61</v>
      </c>
      <c r="K71" s="27">
        <v>109</v>
      </c>
      <c r="L71" s="27">
        <v>7.1</v>
      </c>
      <c r="M71" s="59"/>
      <c r="N71" s="59"/>
      <c r="O71" s="60"/>
    </row>
    <row r="72" spans="2:15" x14ac:dyDescent="0.55000000000000004">
      <c r="B72" s="155"/>
      <c r="C72" s="59">
        <v>2200</v>
      </c>
      <c r="D72" s="27">
        <v>65</v>
      </c>
      <c r="E72" s="27">
        <v>110</v>
      </c>
      <c r="F72" s="27">
        <v>7.4</v>
      </c>
      <c r="G72" s="27">
        <v>61</v>
      </c>
      <c r="H72" s="27">
        <v>108</v>
      </c>
      <c r="I72" s="27">
        <v>7</v>
      </c>
      <c r="J72" s="27">
        <v>59</v>
      </c>
      <c r="K72" s="27">
        <v>105</v>
      </c>
      <c r="L72" s="27">
        <v>6.7</v>
      </c>
      <c r="M72" s="59"/>
      <c r="N72" s="59"/>
      <c r="O72" s="60"/>
    </row>
    <row r="73" spans="2:15" x14ac:dyDescent="0.55000000000000004">
      <c r="B73" s="155"/>
      <c r="C73" s="59">
        <v>2100</v>
      </c>
      <c r="D73" s="27">
        <v>58</v>
      </c>
      <c r="E73" s="27">
        <v>102</v>
      </c>
      <c r="F73" s="27">
        <v>6.6</v>
      </c>
      <c r="G73" s="27">
        <v>55</v>
      </c>
      <c r="H73" s="27">
        <v>100</v>
      </c>
      <c r="I73" s="27">
        <v>6.4</v>
      </c>
      <c r="J73" s="27">
        <v>54</v>
      </c>
      <c r="K73" s="27">
        <v>97</v>
      </c>
      <c r="L73" s="27">
        <v>6.2</v>
      </c>
      <c r="M73" s="59"/>
      <c r="N73" s="59"/>
      <c r="O73" s="60"/>
    </row>
    <row r="74" spans="2:15" x14ac:dyDescent="0.55000000000000004">
      <c r="B74" s="155"/>
      <c r="C74" s="59">
        <v>2000</v>
      </c>
      <c r="D74" s="27">
        <v>52</v>
      </c>
      <c r="E74" s="27">
        <v>94</v>
      </c>
      <c r="F74" s="27">
        <v>6.1</v>
      </c>
      <c r="G74" s="27">
        <v>51</v>
      </c>
      <c r="H74" s="27">
        <v>91</v>
      </c>
      <c r="I74" s="27">
        <v>5.9</v>
      </c>
      <c r="J74" s="27">
        <v>50</v>
      </c>
      <c r="K74" s="27">
        <v>88</v>
      </c>
      <c r="L74" s="27">
        <v>5.8</v>
      </c>
      <c r="M74" s="59"/>
      <c r="N74" s="59"/>
      <c r="O74" s="60"/>
    </row>
    <row r="75" spans="2:15" x14ac:dyDescent="0.55000000000000004">
      <c r="B75" s="155">
        <v>12000</v>
      </c>
      <c r="C75" s="59">
        <v>2350</v>
      </c>
      <c r="D75" s="27">
        <v>73</v>
      </c>
      <c r="E75" s="27">
        <v>119</v>
      </c>
      <c r="F75" s="27">
        <v>8.3000000000000007</v>
      </c>
      <c r="G75" s="27">
        <v>69</v>
      </c>
      <c r="H75" s="27">
        <v>117</v>
      </c>
      <c r="I75" s="27">
        <v>7.9</v>
      </c>
      <c r="J75" s="27">
        <v>65</v>
      </c>
      <c r="K75" s="59">
        <v>115</v>
      </c>
      <c r="L75" s="27">
        <v>7.5</v>
      </c>
      <c r="M75" s="59"/>
      <c r="N75" s="59"/>
      <c r="O75" s="60"/>
    </row>
    <row r="76" spans="2:15" x14ac:dyDescent="0.55000000000000004">
      <c r="B76" s="155"/>
      <c r="C76" s="59">
        <v>2300</v>
      </c>
      <c r="D76" s="27">
        <v>69</v>
      </c>
      <c r="E76" s="27">
        <v>115</v>
      </c>
      <c r="F76" s="27">
        <v>7.9</v>
      </c>
      <c r="G76" s="27">
        <v>65</v>
      </c>
      <c r="H76" s="27">
        <v>113</v>
      </c>
      <c r="I76" s="27">
        <v>7.5</v>
      </c>
      <c r="J76" s="27">
        <v>62</v>
      </c>
      <c r="K76" s="27">
        <v>111</v>
      </c>
      <c r="L76" s="27">
        <v>7.1</v>
      </c>
      <c r="M76" s="59"/>
      <c r="N76" s="59"/>
      <c r="O76" s="60"/>
    </row>
    <row r="77" spans="2:15" x14ac:dyDescent="0.55000000000000004">
      <c r="B77" s="155"/>
      <c r="C77" s="59">
        <v>2250</v>
      </c>
      <c r="D77" s="27">
        <v>65</v>
      </c>
      <c r="E77" s="27">
        <v>112</v>
      </c>
      <c r="F77" s="27">
        <v>7.5</v>
      </c>
      <c r="G77" s="27">
        <v>62</v>
      </c>
      <c r="H77" s="27">
        <v>109</v>
      </c>
      <c r="I77" s="27">
        <v>7.1</v>
      </c>
      <c r="J77" s="27">
        <v>59</v>
      </c>
      <c r="K77" s="27">
        <v>107</v>
      </c>
      <c r="L77" s="27">
        <v>6.8</v>
      </c>
      <c r="M77" s="59"/>
      <c r="N77" s="59"/>
      <c r="O77" s="60"/>
    </row>
    <row r="78" spans="2:15" x14ac:dyDescent="0.55000000000000004">
      <c r="B78" s="155"/>
      <c r="C78" s="59">
        <v>2200</v>
      </c>
      <c r="D78" s="27">
        <v>62</v>
      </c>
      <c r="E78" s="27">
        <v>108</v>
      </c>
      <c r="F78" s="27">
        <v>7.1</v>
      </c>
      <c r="G78" s="27">
        <v>59</v>
      </c>
      <c r="H78" s="27">
        <v>105</v>
      </c>
      <c r="I78" s="27">
        <v>6.8</v>
      </c>
      <c r="J78" s="27">
        <v>57</v>
      </c>
      <c r="K78" s="27">
        <v>103</v>
      </c>
      <c r="L78" s="27">
        <v>6.6</v>
      </c>
      <c r="M78" s="59"/>
      <c r="N78" s="59"/>
      <c r="O78" s="60"/>
    </row>
    <row r="79" spans="2:15" x14ac:dyDescent="0.55000000000000004">
      <c r="B79" s="155"/>
      <c r="C79" s="27">
        <v>2100</v>
      </c>
      <c r="D79" s="27">
        <v>56</v>
      </c>
      <c r="E79" s="27">
        <v>100</v>
      </c>
      <c r="F79" s="27">
        <v>6.4</v>
      </c>
      <c r="G79" s="27">
        <v>54</v>
      </c>
      <c r="H79" s="27">
        <v>97</v>
      </c>
      <c r="I79" s="27">
        <v>6.2</v>
      </c>
      <c r="J79" s="27">
        <v>53</v>
      </c>
      <c r="K79" s="27">
        <v>94</v>
      </c>
      <c r="L79" s="27">
        <v>6.1</v>
      </c>
      <c r="M79" s="59"/>
      <c r="N79" s="59"/>
      <c r="O79" s="60"/>
    </row>
    <row r="80" spans="2:15" ht="14.7" thickBot="1" x14ac:dyDescent="0.6">
      <c r="B80" s="156"/>
      <c r="C80" s="157"/>
      <c r="D80" s="157"/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8"/>
    </row>
  </sheetData>
  <sheetProtection sheet="1" selectLockedCells="1" selectUnlockedCells="1"/>
  <mergeCells count="24">
    <mergeCell ref="D44:F44"/>
    <mergeCell ref="G44:I44"/>
    <mergeCell ref="J44:L44"/>
    <mergeCell ref="B44:B45"/>
    <mergeCell ref="C44:C45"/>
    <mergeCell ref="B2:L2"/>
    <mergeCell ref="B5:B6"/>
    <mergeCell ref="C5:D5"/>
    <mergeCell ref="B3:L3"/>
    <mergeCell ref="E5:E6"/>
    <mergeCell ref="H5:I5"/>
    <mergeCell ref="J5:K5"/>
    <mergeCell ref="L5:M5"/>
    <mergeCell ref="B24:B25"/>
    <mergeCell ref="E24:E25"/>
    <mergeCell ref="C24:D25"/>
    <mergeCell ref="F24:G24"/>
    <mergeCell ref="F5:G5"/>
    <mergeCell ref="C26:D26"/>
    <mergeCell ref="N5:O5"/>
    <mergeCell ref="H24:I24"/>
    <mergeCell ref="J24:K24"/>
    <mergeCell ref="L24:M24"/>
    <mergeCell ref="N24:O24"/>
  </mergeCells>
  <pageMargins left="0.70866141732283472" right="0.70866141732283472" top="0.74803149606299213" bottom="0.74803149606299213" header="0.31496062992125984" footer="0.31496062992125984"/>
  <pageSetup paperSize="9" scale="3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2">
    <tabColor theme="2"/>
  </sheetPr>
  <dimension ref="B2:O77"/>
  <sheetViews>
    <sheetView workbookViewId="0">
      <selection activeCell="U63" sqref="U63"/>
    </sheetView>
  </sheetViews>
  <sheetFormatPr defaultRowHeight="14.4" x14ac:dyDescent="0.55000000000000004"/>
  <cols>
    <col min="2" max="2" width="19.83984375" customWidth="1"/>
    <col min="3" max="3" width="10.83984375" style="1" customWidth="1"/>
    <col min="4" max="4" width="12.83984375" customWidth="1"/>
    <col min="5" max="5" width="11.578125" customWidth="1"/>
    <col min="6" max="7" width="13.26171875" customWidth="1"/>
  </cols>
  <sheetData>
    <row r="2" spans="2:8" ht="91.5" x14ac:dyDescent="3.25">
      <c r="B2" s="2" t="s">
        <v>154</v>
      </c>
    </row>
    <row r="3" spans="2:8" x14ac:dyDescent="0.55000000000000004">
      <c r="B3" s="275" t="s">
        <v>8</v>
      </c>
      <c r="C3" s="275"/>
      <c r="D3" s="275"/>
      <c r="E3" s="275"/>
      <c r="F3" s="275"/>
      <c r="G3" s="3"/>
    </row>
    <row r="4" spans="2:8" x14ac:dyDescent="0.55000000000000004">
      <c r="B4" s="10" t="s">
        <v>125</v>
      </c>
      <c r="C4" s="10">
        <v>53</v>
      </c>
      <c r="D4" t="s">
        <v>83</v>
      </c>
      <c r="E4" s="168">
        <f>C4*3.785412</f>
        <v>200.626836</v>
      </c>
      <c r="F4" s="9" t="s">
        <v>84</v>
      </c>
      <c r="G4" s="169"/>
    </row>
    <row r="5" spans="2:8" x14ac:dyDescent="0.55000000000000004">
      <c r="B5" s="10" t="s">
        <v>120</v>
      </c>
      <c r="C5" s="9">
        <v>18</v>
      </c>
      <c r="D5" s="9" t="s">
        <v>115</v>
      </c>
      <c r="E5" s="169"/>
      <c r="F5" s="3"/>
      <c r="G5" s="3"/>
    </row>
    <row r="6" spans="2:8" x14ac:dyDescent="0.55000000000000004">
      <c r="B6" s="10" t="s">
        <v>122</v>
      </c>
      <c r="C6" s="9">
        <f>MAX('C172 Performance specs'!F46:F80,'C172 Performance specs'!I46:I80,'C172 Performance specs'!L46:L79,'C172 Performance specs'!L79,'C172 Performance specs'!L79:L80)</f>
        <v>9.3000000000000007</v>
      </c>
      <c r="D6" s="10" t="s">
        <v>123</v>
      </c>
      <c r="E6" s="170">
        <f>C6*3.785412</f>
        <v>35.204331600000003</v>
      </c>
      <c r="F6" s="9" t="s">
        <v>124</v>
      </c>
      <c r="G6" s="190" t="s">
        <v>165</v>
      </c>
    </row>
    <row r="7" spans="2:8" x14ac:dyDescent="0.55000000000000004">
      <c r="B7" s="9" t="s">
        <v>135</v>
      </c>
      <c r="C7" s="170">
        <f>E4/E6</f>
        <v>5.6989247311827951</v>
      </c>
      <c r="D7" s="9" t="s">
        <v>136</v>
      </c>
      <c r="E7" s="177" t="str">
        <f>INT(C7)&amp;":"&amp;ROUND((C7-INT(C7))*60,0)</f>
        <v>5:42</v>
      </c>
      <c r="F7" s="9"/>
      <c r="G7" s="152"/>
    </row>
    <row r="8" spans="2:8" x14ac:dyDescent="0.55000000000000004">
      <c r="B8" s="9"/>
      <c r="C8" s="173"/>
      <c r="D8" s="173"/>
      <c r="E8" s="173"/>
      <c r="F8" s="173"/>
      <c r="G8" s="173"/>
    </row>
    <row r="9" spans="2:8" x14ac:dyDescent="0.55000000000000004">
      <c r="B9" s="3" t="s">
        <v>9</v>
      </c>
      <c r="C9" s="3"/>
      <c r="D9" s="3"/>
      <c r="E9" s="3"/>
      <c r="F9" s="3"/>
      <c r="G9" s="3"/>
      <c r="H9" s="4"/>
    </row>
    <row r="10" spans="2:8" x14ac:dyDescent="0.55000000000000004">
      <c r="B10" t="s">
        <v>5</v>
      </c>
      <c r="C10" s="1">
        <v>1679.23</v>
      </c>
      <c r="D10" t="s">
        <v>115</v>
      </c>
      <c r="E10" s="1">
        <f t="shared" ref="E10" si="0">C10*0.45359</f>
        <v>761.68193569999994</v>
      </c>
      <c r="F10" t="s">
        <v>139</v>
      </c>
    </row>
    <row r="11" spans="2:8" x14ac:dyDescent="0.55000000000000004">
      <c r="B11" t="s">
        <v>6</v>
      </c>
      <c r="C11" s="1">
        <v>38.740400000000001</v>
      </c>
      <c r="D11" t="s">
        <v>116</v>
      </c>
      <c r="E11" s="1"/>
    </row>
    <row r="12" spans="2:8" x14ac:dyDescent="0.55000000000000004">
      <c r="B12" t="s">
        <v>7</v>
      </c>
      <c r="C12" s="1">
        <v>65054.0743</v>
      </c>
      <c r="D12" t="s">
        <v>117</v>
      </c>
      <c r="E12" s="1"/>
    </row>
    <row r="13" spans="2:8" x14ac:dyDescent="0.55000000000000004">
      <c r="E13" s="1"/>
    </row>
    <row r="14" spans="2:8" x14ac:dyDescent="0.55000000000000004">
      <c r="B14" s="4" t="s">
        <v>11</v>
      </c>
      <c r="E14" s="1"/>
    </row>
    <row r="15" spans="2:8" x14ac:dyDescent="0.55000000000000004">
      <c r="B15" s="162" t="s">
        <v>118</v>
      </c>
      <c r="C15" s="1">
        <v>770.77</v>
      </c>
      <c r="D15" t="s">
        <v>115</v>
      </c>
      <c r="E15" s="1">
        <f>C15*0.45359</f>
        <v>349.61356430000001</v>
      </c>
      <c r="F15" t="s">
        <v>139</v>
      </c>
    </row>
    <row r="16" spans="2:8" x14ac:dyDescent="0.55000000000000004">
      <c r="B16" s="161" t="s">
        <v>119</v>
      </c>
      <c r="C16" s="1">
        <v>520.77</v>
      </c>
      <c r="D16" t="s">
        <v>115</v>
      </c>
      <c r="E16" s="1">
        <f>C16*0.45359</f>
        <v>236.2160643</v>
      </c>
      <c r="F16" t="s">
        <v>139</v>
      </c>
    </row>
    <row r="17" spans="2:6" x14ac:dyDescent="0.55000000000000004">
      <c r="E17" s="1"/>
    </row>
    <row r="18" spans="2:6" x14ac:dyDescent="0.55000000000000004">
      <c r="B18" s="4" t="s">
        <v>142</v>
      </c>
      <c r="E18" s="1"/>
    </row>
    <row r="19" spans="2:6" x14ac:dyDescent="0.55000000000000004">
      <c r="B19" t="s">
        <v>140</v>
      </c>
      <c r="C19" s="1">
        <v>120</v>
      </c>
      <c r="D19" t="s">
        <v>115</v>
      </c>
      <c r="E19" s="1">
        <f t="shared" ref="E19:E20" si="1">C19*0.45359</f>
        <v>54.430799999999998</v>
      </c>
      <c r="F19" t="s">
        <v>139</v>
      </c>
    </row>
    <row r="20" spans="2:6" x14ac:dyDescent="0.55000000000000004">
      <c r="B20" s="108" t="s">
        <v>141</v>
      </c>
      <c r="C20" s="1">
        <v>50</v>
      </c>
      <c r="D20" t="s">
        <v>115</v>
      </c>
      <c r="E20" s="1">
        <f t="shared" si="1"/>
        <v>22.679500000000001</v>
      </c>
      <c r="F20" t="s">
        <v>139</v>
      </c>
    </row>
    <row r="22" spans="2:6" x14ac:dyDescent="0.55000000000000004">
      <c r="B22" s="4" t="s">
        <v>10</v>
      </c>
    </row>
    <row r="23" spans="2:6" x14ac:dyDescent="0.55000000000000004">
      <c r="B23" s="276" t="s">
        <v>113</v>
      </c>
      <c r="C23" s="276"/>
      <c r="D23" s="164" t="s">
        <v>114</v>
      </c>
    </row>
    <row r="24" spans="2:6" x14ac:dyDescent="0.55000000000000004">
      <c r="B24" s="7" t="s">
        <v>112</v>
      </c>
      <c r="C24" s="8" t="s">
        <v>111</v>
      </c>
      <c r="D24" s="165" t="s">
        <v>112</v>
      </c>
      <c r="E24" s="8" t="s">
        <v>111</v>
      </c>
    </row>
    <row r="25" spans="2:6" x14ac:dyDescent="0.55000000000000004">
      <c r="B25" s="5">
        <v>35</v>
      </c>
      <c r="C25" s="6">
        <v>0</v>
      </c>
      <c r="D25" s="166">
        <v>35</v>
      </c>
      <c r="E25" s="6">
        <v>0</v>
      </c>
    </row>
    <row r="26" spans="2:6" x14ac:dyDescent="0.55000000000000004">
      <c r="B26">
        <v>35</v>
      </c>
      <c r="C26" s="1">
        <v>1950</v>
      </c>
      <c r="D26" s="167">
        <v>35</v>
      </c>
      <c r="E26" s="1">
        <v>1950</v>
      </c>
    </row>
    <row r="27" spans="2:6" x14ac:dyDescent="0.55000000000000004">
      <c r="B27">
        <v>36.5</v>
      </c>
      <c r="C27" s="1">
        <v>2100</v>
      </c>
      <c r="D27" s="167">
        <v>36.5</v>
      </c>
      <c r="E27" s="1">
        <v>2100</v>
      </c>
    </row>
    <row r="28" spans="2:6" x14ac:dyDescent="0.55000000000000004">
      <c r="B28">
        <v>40</v>
      </c>
      <c r="C28" s="1">
        <v>2450</v>
      </c>
      <c r="D28" s="167">
        <v>40.5</v>
      </c>
      <c r="E28" s="1">
        <v>2100</v>
      </c>
    </row>
    <row r="29" spans="2:6" x14ac:dyDescent="0.55000000000000004">
      <c r="B29">
        <v>47.3</v>
      </c>
      <c r="C29" s="1">
        <v>2450</v>
      </c>
      <c r="D29" s="167">
        <v>40.5</v>
      </c>
      <c r="E29" s="1">
        <v>0</v>
      </c>
    </row>
    <row r="30" spans="2:6" x14ac:dyDescent="0.55000000000000004">
      <c r="B30">
        <v>47.3</v>
      </c>
      <c r="C30" s="1">
        <v>0</v>
      </c>
      <c r="D30" s="167"/>
      <c r="E30" s="1"/>
    </row>
    <row r="75" spans="2:15" x14ac:dyDescent="0.55000000000000004">
      <c r="B75" s="4"/>
    </row>
    <row r="76" spans="2:15" x14ac:dyDescent="0.55000000000000004">
      <c r="B76" s="4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</row>
    <row r="77" spans="2:15" x14ac:dyDescent="0.55000000000000004">
      <c r="B77" s="4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</row>
  </sheetData>
  <sheetProtection sheet="1" selectLockedCells="1" selectUnlockedCells="1"/>
  <mergeCells count="2">
    <mergeCell ref="B3:F3"/>
    <mergeCell ref="B23:C2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2</vt:i4>
      </vt:variant>
    </vt:vector>
  </HeadingPairs>
  <TitlesOfParts>
    <vt:vector size="7" baseType="lpstr">
      <vt:lpstr>Introduction</vt:lpstr>
      <vt:lpstr>W&amp;B FORM</vt:lpstr>
      <vt:lpstr>Performance FORM</vt:lpstr>
      <vt:lpstr>C172 Performance specs</vt:lpstr>
      <vt:lpstr>OO-VCW</vt:lpstr>
      <vt:lpstr>'Performance FORM'!Afdrukbereik</vt:lpstr>
      <vt:lpstr>'W&amp;B FORM'!Afdrukbereik</vt:lpstr>
    </vt:vector>
  </TitlesOfParts>
  <Company>Katholieke Hogeschool Zuid-West-Vlaanderen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VCG C152</dc:title>
  <dc:subject>Vlieclub Grimbergen</dc:subject>
  <dc:creator>Tony Opsomer</dc:creator>
  <cp:keywords>Flight log, performance, weight &amp; balance</cp:keywords>
  <cp:lastModifiedBy>Tony Opsomer</cp:lastModifiedBy>
  <cp:lastPrinted>2010-01-25T09:41:26Z</cp:lastPrinted>
  <dcterms:created xsi:type="dcterms:W3CDTF">2008-07-08T18:06:24Z</dcterms:created>
  <dcterms:modified xsi:type="dcterms:W3CDTF">2021-07-25T08:09:59Z</dcterms:modified>
</cp:coreProperties>
</file>